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Undergrads" sheetId="1" r:id="rId1"/>
    <sheet name="Grads" sheetId="2" r:id="rId2"/>
  </sheets>
  <definedNames>
    <definedName name="_xlnm.Print_Area" localSheetId="1">'Grads'!$A$1:$Q$162</definedName>
    <definedName name="_xlnm.Print_Area" localSheetId="0">'Undergrads'!$A$1:$Q$253</definedName>
  </definedNames>
  <calcPr fullCalcOnLoad="1"/>
</workbook>
</file>

<file path=xl/sharedStrings.xml><?xml version="1.0" encoding="utf-8"?>
<sst xmlns="http://schemas.openxmlformats.org/spreadsheetml/2006/main" count="526" uniqueCount="227">
  <si>
    <t>UNDERGRADUATES</t>
  </si>
  <si>
    <t>Minorities*</t>
  </si>
  <si>
    <t>Non-</t>
  </si>
  <si>
    <t>Inter-</t>
  </si>
  <si>
    <t>College of Agriculture</t>
  </si>
  <si>
    <t>Total</t>
  </si>
  <si>
    <t>Male</t>
  </si>
  <si>
    <t>Female</t>
  </si>
  <si>
    <t>1</t>
  </si>
  <si>
    <t>2</t>
  </si>
  <si>
    <t>4</t>
  </si>
  <si>
    <t>6</t>
  </si>
  <si>
    <t>Resident</t>
  </si>
  <si>
    <t>resident</t>
  </si>
  <si>
    <t>national**</t>
  </si>
  <si>
    <t>Agriculture - Special</t>
  </si>
  <si>
    <t>Agriculture - Undeclared</t>
  </si>
  <si>
    <t>Agricultural Biochemistry</t>
  </si>
  <si>
    <t>Agricultural Business</t>
  </si>
  <si>
    <t>Agricultural Education</t>
  </si>
  <si>
    <t>Agricultural Studies</t>
  </si>
  <si>
    <t>Agricultural Systems Technology</t>
  </si>
  <si>
    <t>Agronomy</t>
  </si>
  <si>
    <t>Animal Ecology</t>
  </si>
  <si>
    <t>Animal Science</t>
  </si>
  <si>
    <t>Animal Science (Pre-Vet)</t>
  </si>
  <si>
    <t>Dairy Science</t>
  </si>
  <si>
    <t>Dairy Science (Pre-Vet)</t>
  </si>
  <si>
    <t>Dietetics (See also FCS)</t>
  </si>
  <si>
    <t>Entomology</t>
  </si>
  <si>
    <t>Environmental Sciences (Ag)</t>
  </si>
  <si>
    <t>Food Science (See also FCS)</t>
  </si>
  <si>
    <t>Forestry</t>
  </si>
  <si>
    <t>General Preveterinary Medicine</t>
  </si>
  <si>
    <t>Genetics (See also LAS)</t>
  </si>
  <si>
    <t>Horticulture</t>
  </si>
  <si>
    <t>Microbiology</t>
  </si>
  <si>
    <t>Nutritional Science (See also FCS)</t>
  </si>
  <si>
    <t>Plant Health &amp; Protection</t>
  </si>
  <si>
    <t>Professional Agriculture</t>
  </si>
  <si>
    <t>Public Service &amp; Admin. in Agriculture</t>
  </si>
  <si>
    <t>Zoology (See also LAS)</t>
  </si>
  <si>
    <t>College of Business</t>
  </si>
  <si>
    <t>Business - Special</t>
  </si>
  <si>
    <t>Business - Undeclared</t>
  </si>
  <si>
    <t>Accounting</t>
  </si>
  <si>
    <t>Finance</t>
  </si>
  <si>
    <t>Management</t>
  </si>
  <si>
    <t>Management Information Systems</t>
  </si>
  <si>
    <t>Marketing</t>
  </si>
  <si>
    <t>Pre-Business</t>
  </si>
  <si>
    <t>Production/Operations Management</t>
  </si>
  <si>
    <t>Transportation and Logistics</t>
  </si>
  <si>
    <t>College of Design</t>
  </si>
  <si>
    <t>Design - Special</t>
  </si>
  <si>
    <t>Design - Undeclared</t>
  </si>
  <si>
    <t>Architecture - Professional Degree</t>
  </si>
  <si>
    <t>Art &amp; Design</t>
  </si>
  <si>
    <t>Art &amp; Design - Bachelor of Arts</t>
  </si>
  <si>
    <t>Art &amp; Design - Fine Arts</t>
  </si>
  <si>
    <t>Community &amp; Regional Planning</t>
  </si>
  <si>
    <t>Graphic Design</t>
  </si>
  <si>
    <t>Interior Design</t>
  </si>
  <si>
    <t>Landscape Architecture</t>
  </si>
  <si>
    <t>Pre-Architecture</t>
  </si>
  <si>
    <t>Pre-Landscape Architecture</t>
  </si>
  <si>
    <t>College of Education</t>
  </si>
  <si>
    <t>Education - Special</t>
  </si>
  <si>
    <t>Education - Undeclared</t>
  </si>
  <si>
    <t>Community Health Education</t>
  </si>
  <si>
    <t>Early Childhood Educ. (See also FCS)</t>
  </si>
  <si>
    <t>Elementary Education</t>
  </si>
  <si>
    <t>Exercise &amp; Sport Science</t>
  </si>
  <si>
    <t>Industrial Education &amp; Technology</t>
  </si>
  <si>
    <t>Industrial Technology</t>
  </si>
  <si>
    <t>College of Engineering</t>
  </si>
  <si>
    <t>Engineering - Special</t>
  </si>
  <si>
    <t>Aerospace Engineering</t>
  </si>
  <si>
    <t>Agricultural Engineering</t>
  </si>
  <si>
    <t>Ceramic Engineering</t>
  </si>
  <si>
    <t>Chemical Engineering</t>
  </si>
  <si>
    <t>Civil Engineering</t>
  </si>
  <si>
    <t>Computer Engineering</t>
  </si>
  <si>
    <t>Construction Engineering</t>
  </si>
  <si>
    <t>Electrical Engineering</t>
  </si>
  <si>
    <t>Engineering Operations</t>
  </si>
  <si>
    <t>Engineering Science</t>
  </si>
  <si>
    <t>Industrial Engineering</t>
  </si>
  <si>
    <t>Mechanical Engineering</t>
  </si>
  <si>
    <t>Metallurgical Engineering</t>
  </si>
  <si>
    <t>College of Family &amp; Consumer Sciences</t>
  </si>
  <si>
    <t>Family &amp; Consumer Sciences - Special</t>
  </si>
  <si>
    <t>Family &amp; Consumer Sciences</t>
  </si>
  <si>
    <t>Apparel Merchandising, Design &amp; Produc.</t>
  </si>
  <si>
    <t>Child &amp; Family Services</t>
  </si>
  <si>
    <t>Dietetics (See also AG)</t>
  </si>
  <si>
    <t>Early Childhood Educ. (See also Educ)</t>
  </si>
  <si>
    <t>Family &amp; Consumer Sciences Education</t>
  </si>
  <si>
    <t>Family Res. Mgmt. &amp; Consumer Sciences</t>
  </si>
  <si>
    <t>Food Science (See also AG)</t>
  </si>
  <si>
    <t>Food Sci. &amp; Human Nutri. (See also AG)</t>
  </si>
  <si>
    <t>Hotel, Restaurant and Institution Mgmt.</t>
  </si>
  <si>
    <t>Housing and the Near Environment</t>
  </si>
  <si>
    <t>Human Development &amp; Family Studies</t>
  </si>
  <si>
    <t>Nutritional Science (See also AG)</t>
  </si>
  <si>
    <t>Studies in Family &amp; Consumer Sciences</t>
  </si>
  <si>
    <t>Textiles and Clothing</t>
  </si>
  <si>
    <t>College of Liberal Arts &amp; Sciences</t>
  </si>
  <si>
    <t>Intensive English &amp; Orientation-Special</t>
  </si>
  <si>
    <t>Liberal Arts &amp; Sciences - Special</t>
  </si>
  <si>
    <t>Liberal Arts &amp; Sciences - Open Option</t>
  </si>
  <si>
    <t>Advertising</t>
  </si>
  <si>
    <t>Anthropology</t>
  </si>
  <si>
    <t>Biochemistry</t>
  </si>
  <si>
    <t>Biological/Pre-Medical Illustration</t>
  </si>
  <si>
    <t>Biology</t>
  </si>
  <si>
    <t>Biophysics</t>
  </si>
  <si>
    <t>Botany</t>
  </si>
  <si>
    <t>Chemistry</t>
  </si>
  <si>
    <t xml:space="preserve">Computer Science </t>
  </si>
  <si>
    <t>Earth Science</t>
  </si>
  <si>
    <t>Economics</t>
  </si>
  <si>
    <t>English</t>
  </si>
  <si>
    <t>Environmental Sciences (LAS)</t>
  </si>
  <si>
    <t>French</t>
  </si>
  <si>
    <t>Genetics (See also AG)</t>
  </si>
  <si>
    <t>Geology</t>
  </si>
  <si>
    <t>General Undergraduate Studies</t>
  </si>
  <si>
    <t>German</t>
  </si>
  <si>
    <t>History</t>
  </si>
  <si>
    <t>Interdisciplinary Studies</t>
  </si>
  <si>
    <t>Journalism and Mass Communication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</si>
  <si>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</si>
  <si>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</si>
  <si>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</si>
  <si>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</si>
  <si>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</si>
  <si>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</si>
  <si>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</si>
  <si>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</si>
  <si>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</si>
  <si>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>Political Science</t>
  </si>
  <si>
    <t>Pre-Advertising</t>
  </si>
  <si>
    <t>Pre-Biological/Pre-Medical Illustration</t>
  </si>
  <si>
    <t>Pre-Journalism &amp; Mass Communication</t>
  </si>
  <si>
    <t>Preparation for Human Medicine</t>
  </si>
  <si>
    <t>Preparation for Law</t>
  </si>
  <si>
    <t>Preprofessional Health Programs</t>
  </si>
  <si>
    <t>Psychology</t>
  </si>
  <si>
    <t>Religious Studies</t>
  </si>
  <si>
    <t>Russian</t>
  </si>
  <si>
    <t>Sociology</t>
  </si>
  <si>
    <t>Spanish</t>
  </si>
  <si>
    <t>Speech Communication</t>
  </si>
  <si>
    <t>Statistics</t>
  </si>
  <si>
    <t>Women's Studies</t>
  </si>
  <si>
    <t>Zoology (See also AG)</t>
  </si>
  <si>
    <t>College of Veterinary Medicine</t>
  </si>
  <si>
    <t>Veterinary Medicine - Special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</si>
  <si>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</si>
  <si>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</si>
  <si>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</si>
  <si>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</si>
  <si>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</si>
  <si>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4 = Asian or Pacific Islander</t>
  </si>
  <si>
    <t>6 = Hispanic</t>
  </si>
  <si>
    <t>**Internationals are included with the nonresidents.</t>
  </si>
  <si>
    <t>Applied Physics</t>
  </si>
  <si>
    <t xml:space="preserve">FALL SEMESTER 2000 ENROLLMENT </t>
  </si>
  <si>
    <t>FALL SEMESTER 2000 ENROLLMENT</t>
  </si>
  <si>
    <t>Engineering - Undeclared</t>
  </si>
  <si>
    <t>Materials Enginering</t>
  </si>
  <si>
    <t>Communication Studies</t>
  </si>
  <si>
    <t>Russian Studies</t>
  </si>
  <si>
    <t>Per-Computer Science</t>
  </si>
  <si>
    <t>GRADUATES</t>
  </si>
  <si>
    <t>Agricultural Education &amp; Studies</t>
  </si>
  <si>
    <t>Biochemistry, Biophysics &amp; Molecular Biology</t>
  </si>
  <si>
    <t>Botany (See also LAS)</t>
  </si>
  <si>
    <t>Economics (See also LAS)</t>
  </si>
  <si>
    <t>Food Sci. &amp; Human Nutr. (See also FCS)</t>
  </si>
  <si>
    <t>Plant Pathology</t>
  </si>
  <si>
    <t>Sociology (See also LAS)</t>
  </si>
  <si>
    <t>Zoology &amp; Genetics (See also LAS)</t>
  </si>
  <si>
    <t>Business Administration</t>
  </si>
  <si>
    <t>Architecture</t>
  </si>
  <si>
    <t>Curriculum &amp; Instruction</t>
  </si>
  <si>
    <t>Educational Leadership &amp; Policy Studies</t>
  </si>
  <si>
    <t>Health &amp; Human Performance</t>
  </si>
  <si>
    <t>Aerospace Engr. &amp; Engr. Mechanics</t>
  </si>
  <si>
    <t>Agricultural &amp; Biosystems Engineering</t>
  </si>
  <si>
    <t>Civil &amp; Construction Engineering</t>
  </si>
  <si>
    <t>Electrical &amp; Computer Engineering</t>
  </si>
  <si>
    <t>Ind. &amp; Manufacturing Systems Engineering</t>
  </si>
  <si>
    <t>Materials Science &amp; Engineering</t>
  </si>
  <si>
    <t>Collge of Family &amp; Consumer Sciences</t>
  </si>
  <si>
    <t>Family &amp; Consumer Sci. Educ. &amp; Studies</t>
  </si>
  <si>
    <t>Food Sci. &amp; Human Nutr. (See also Ag)</t>
  </si>
  <si>
    <t>Biochemistry, Biophysics, &amp; Molecular Biology</t>
  </si>
  <si>
    <t>Botany (See also Ag College)</t>
  </si>
  <si>
    <t>Economics (See also Ag College)</t>
  </si>
  <si>
    <t>Geological &amp; Atmospheric Sciences</t>
  </si>
  <si>
    <t>Physics &amp; Astronomy</t>
  </si>
  <si>
    <t>Sociology (See also Ag.)</t>
  </si>
  <si>
    <t>Zoology &amp; Genetics (See also Ag)</t>
  </si>
  <si>
    <t>Biomedical Sciences</t>
  </si>
  <si>
    <t>Veterinary Clinical Sciences</t>
  </si>
  <si>
    <t>Veterinary Diagnostic &amp; Production Animal Med.</t>
  </si>
  <si>
    <t>Vet. Microbiology &amp; Preventive Medicine</t>
  </si>
  <si>
    <t>Veterinary Pathology</t>
  </si>
  <si>
    <t>Interdepartmental Programs &amp;</t>
  </si>
  <si>
    <t xml:space="preserve">  Graduate Undeclared</t>
  </si>
  <si>
    <t>Nondegree - Undeclared</t>
  </si>
  <si>
    <t>Biomedical Engineering</t>
  </si>
  <si>
    <t>Genetics - Interdisciplinary</t>
  </si>
  <si>
    <t>Immunobiology</t>
  </si>
  <si>
    <t>Industrial Relations</t>
  </si>
  <si>
    <t>Interdisciplinary Graduate Studies</t>
  </si>
  <si>
    <t>Molecular, Cellular &amp; Dev. Biology</t>
  </si>
  <si>
    <t>Neurosciences</t>
  </si>
  <si>
    <t>Plant Physiology</t>
  </si>
  <si>
    <t>Systems Engineering</t>
  </si>
  <si>
    <t>TOTAL GRADUATES</t>
  </si>
  <si>
    <t>*Includes U.S. Citizens, Immigrants, Refugees, and Asylees only.</t>
  </si>
  <si>
    <t>Bioinformatics &amp; Computational Biology</t>
  </si>
  <si>
    <t xml:space="preserve"> </t>
  </si>
  <si>
    <t>IOWA STATE UNIVERSITY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</si>
</sst>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9">
    <font>
      <sz val="10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53"/>
  <sheetViews>
    <sheetView showGridLines="0" tabSelected="1" view="pageBreakPreview" zoomScale="75" zoomScaleSheetLayoutView="75" workbookViewId="0" topLeftCell="A1">
      <selection activeCell="A1" sqref="A1:Q1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4" width="5.7109375" style="3" customWidth="1"/>
    <col min="5" max="5" width="7.28125" style="3" customWidth="1"/>
    <col min="6" max="6" width="1.1484375" style="3" customWidth="1"/>
    <col min="7" max="7" width="3.7109375" style="3" customWidth="1"/>
    <col min="8" max="9" width="4.28125" style="3" customWidth="1"/>
    <col min="10" max="10" width="4.57421875" style="3" customWidth="1"/>
    <col min="11" max="11" width="1.1484375" style="3" customWidth="1"/>
    <col min="12" max="12" width="5.7109375" style="3" customWidth="1"/>
    <col min="13" max="13" width="2.7109375" style="3" customWidth="1"/>
    <col min="14" max="14" width="5.140625" style="3" customWidth="1"/>
    <col min="15" max="15" width="2.7109375" style="3" customWidth="1"/>
    <col min="16" max="16" width="4.7109375" style="3" customWidth="1"/>
    <col min="17" max="17" width="2.28125" style="3" customWidth="1"/>
    <col min="18" max="16384" width="9.7109375" style="3" customWidth="1"/>
  </cols>
  <sheetData>
    <row r="1" spans="1:17" ht="15.75">
      <c r="A1" s="14" t="s">
        <v>226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.75">
      <c r="A2" s="1" t="s">
        <v>168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7" spans="8:16" ht="12.75">
      <c r="H7" s="4" t="s">
        <v>1</v>
      </c>
      <c r="N7" s="5" t="s">
        <v>2</v>
      </c>
      <c r="P7" s="5" t="s">
        <v>3</v>
      </c>
    </row>
    <row r="8" spans="1:16" ht="12.75">
      <c r="A8" s="4" t="s">
        <v>4</v>
      </c>
      <c r="B8" s="6"/>
      <c r="C8" s="7" t="s">
        <v>5</v>
      </c>
      <c r="D8" s="7" t="s">
        <v>6</v>
      </c>
      <c r="E8" s="7" t="s">
        <v>7</v>
      </c>
      <c r="F8" s="6"/>
      <c r="G8" s="7" t="s">
        <v>8</v>
      </c>
      <c r="H8" s="7" t="s">
        <v>9</v>
      </c>
      <c r="I8" s="7" t="s">
        <v>10</v>
      </c>
      <c r="J8" s="7" t="s">
        <v>11</v>
      </c>
      <c r="K8" s="6"/>
      <c r="L8" s="8" t="s">
        <v>12</v>
      </c>
      <c r="M8" s="6"/>
      <c r="N8" s="8" t="s">
        <v>13</v>
      </c>
      <c r="O8" s="6"/>
      <c r="P8" s="8" t="s">
        <v>14</v>
      </c>
    </row>
    <row r="9" spans="2:16" ht="12" customHeight="1">
      <c r="B9" s="9" t="s">
        <v>15</v>
      </c>
      <c r="C9" s="3">
        <f aca="true" t="shared" si="0" ref="C9:C25">D9+E9</f>
        <v>41</v>
      </c>
      <c r="D9" s="3">
        <v>23</v>
      </c>
      <c r="E9" s="3">
        <v>18</v>
      </c>
      <c r="I9" s="3">
        <v>1</v>
      </c>
      <c r="L9" s="3">
        <f aca="true" t="shared" si="1" ref="L9:L25">(C9-N9)</f>
        <v>24</v>
      </c>
      <c r="N9" s="3">
        <v>17</v>
      </c>
      <c r="P9" s="3">
        <v>3</v>
      </c>
    </row>
    <row r="10" spans="2:14" ht="12" customHeight="1">
      <c r="B10" s="9" t="s">
        <v>16</v>
      </c>
      <c r="C10" s="3">
        <f t="shared" si="0"/>
        <v>47</v>
      </c>
      <c r="D10" s="3">
        <v>28</v>
      </c>
      <c r="E10" s="3">
        <v>19</v>
      </c>
      <c r="J10" s="3">
        <v>1</v>
      </c>
      <c r="L10" s="3">
        <f t="shared" si="1"/>
        <v>43</v>
      </c>
      <c r="N10" s="3">
        <v>4</v>
      </c>
    </row>
    <row r="11" spans="2:14" ht="12" customHeight="1">
      <c r="B11" s="9" t="s">
        <v>17</v>
      </c>
      <c r="C11" s="3">
        <f t="shared" si="0"/>
        <v>19</v>
      </c>
      <c r="D11" s="3">
        <v>5</v>
      </c>
      <c r="E11" s="3">
        <v>14</v>
      </c>
      <c r="I11" s="3">
        <v>1</v>
      </c>
      <c r="L11" s="3">
        <f t="shared" si="1"/>
        <v>17</v>
      </c>
      <c r="N11" s="3">
        <v>2</v>
      </c>
    </row>
    <row r="12" spans="2:16" ht="12" customHeight="1">
      <c r="B12" s="9" t="s">
        <v>18</v>
      </c>
      <c r="C12" s="3">
        <f t="shared" si="0"/>
        <v>335</v>
      </c>
      <c r="D12" s="3">
        <v>253</v>
      </c>
      <c r="E12" s="3">
        <v>82</v>
      </c>
      <c r="G12" s="3">
        <v>1</v>
      </c>
      <c r="H12" s="3">
        <v>5</v>
      </c>
      <c r="J12" s="3">
        <v>2</v>
      </c>
      <c r="L12" s="3">
        <f t="shared" si="1"/>
        <v>304</v>
      </c>
      <c r="N12" s="3">
        <v>31</v>
      </c>
      <c r="P12" s="3">
        <v>1</v>
      </c>
    </row>
    <row r="13" spans="2:14" ht="12" customHeight="1">
      <c r="B13" s="9" t="s">
        <v>19</v>
      </c>
      <c r="C13" s="3">
        <f t="shared" si="0"/>
        <v>152</v>
      </c>
      <c r="D13" s="3">
        <v>78</v>
      </c>
      <c r="E13" s="3">
        <v>74</v>
      </c>
      <c r="H13" s="3">
        <v>1</v>
      </c>
      <c r="J13" s="3">
        <v>1</v>
      </c>
      <c r="L13" s="3">
        <f t="shared" si="1"/>
        <v>140</v>
      </c>
      <c r="N13" s="3">
        <v>12</v>
      </c>
    </row>
    <row r="14" spans="2:14" ht="12" customHeight="1">
      <c r="B14" s="9" t="s">
        <v>20</v>
      </c>
      <c r="C14" s="3">
        <f t="shared" si="0"/>
        <v>210</v>
      </c>
      <c r="D14" s="3">
        <v>197</v>
      </c>
      <c r="E14" s="3">
        <v>13</v>
      </c>
      <c r="G14" s="3">
        <v>2</v>
      </c>
      <c r="I14" s="3">
        <v>1</v>
      </c>
      <c r="J14" s="3">
        <v>1</v>
      </c>
      <c r="L14" s="3">
        <f t="shared" si="1"/>
        <v>207</v>
      </c>
      <c r="N14" s="3">
        <v>3</v>
      </c>
    </row>
    <row r="15" spans="2:16" ht="12" customHeight="1">
      <c r="B15" s="9" t="s">
        <v>21</v>
      </c>
      <c r="C15" s="3">
        <f t="shared" si="0"/>
        <v>134</v>
      </c>
      <c r="D15" s="3">
        <v>125</v>
      </c>
      <c r="E15" s="3">
        <v>9</v>
      </c>
      <c r="L15" s="3">
        <f t="shared" si="1"/>
        <v>121</v>
      </c>
      <c r="N15" s="3">
        <v>13</v>
      </c>
      <c r="P15" s="3">
        <v>2</v>
      </c>
    </row>
    <row r="16" spans="2:14" ht="12" customHeight="1">
      <c r="B16" s="9" t="s">
        <v>22</v>
      </c>
      <c r="C16" s="3">
        <f t="shared" si="0"/>
        <v>184</v>
      </c>
      <c r="D16" s="3">
        <v>138</v>
      </c>
      <c r="E16" s="3">
        <v>46</v>
      </c>
      <c r="H16" s="3">
        <v>2</v>
      </c>
      <c r="I16" s="3">
        <v>2</v>
      </c>
      <c r="J16" s="3">
        <v>1</v>
      </c>
      <c r="L16" s="3">
        <f t="shared" si="1"/>
        <v>174</v>
      </c>
      <c r="N16" s="3">
        <v>10</v>
      </c>
    </row>
    <row r="17" spans="2:16" ht="12" customHeight="1">
      <c r="B17" s="9" t="s">
        <v>23</v>
      </c>
      <c r="C17" s="3">
        <f t="shared" si="0"/>
        <v>308</v>
      </c>
      <c r="D17" s="3">
        <v>166</v>
      </c>
      <c r="E17" s="3">
        <v>142</v>
      </c>
      <c r="G17" s="3">
        <v>2</v>
      </c>
      <c r="H17" s="3">
        <v>2</v>
      </c>
      <c r="I17" s="3">
        <v>2</v>
      </c>
      <c r="J17" s="3">
        <v>4</v>
      </c>
      <c r="L17" s="3">
        <f t="shared" si="1"/>
        <v>265</v>
      </c>
      <c r="N17" s="3">
        <f>15+27+1</f>
        <v>43</v>
      </c>
      <c r="P17" s="3">
        <v>1</v>
      </c>
    </row>
    <row r="18" spans="2:16" ht="12" customHeight="1">
      <c r="B18" s="9" t="s">
        <v>24</v>
      </c>
      <c r="C18" s="3">
        <f t="shared" si="0"/>
        <v>409</v>
      </c>
      <c r="D18" s="3">
        <v>165</v>
      </c>
      <c r="E18" s="3">
        <v>244</v>
      </c>
      <c r="G18" s="3">
        <v>1</v>
      </c>
      <c r="H18" s="3">
        <v>4</v>
      </c>
      <c r="I18" s="3">
        <v>3</v>
      </c>
      <c r="J18" s="3">
        <v>11</v>
      </c>
      <c r="L18" s="3">
        <f t="shared" si="1"/>
        <v>329</v>
      </c>
      <c r="N18" s="3">
        <f>29+51</f>
        <v>80</v>
      </c>
      <c r="P18" s="3">
        <v>4</v>
      </c>
    </row>
    <row r="19" spans="2:16" ht="12" customHeight="1">
      <c r="B19" s="9" t="s">
        <v>25</v>
      </c>
      <c r="C19" s="3">
        <f t="shared" si="0"/>
        <v>146</v>
      </c>
      <c r="D19" s="3">
        <v>31</v>
      </c>
      <c r="E19" s="3">
        <v>115</v>
      </c>
      <c r="G19" s="3">
        <v>2</v>
      </c>
      <c r="H19" s="3">
        <v>3</v>
      </c>
      <c r="I19" s="3">
        <v>1</v>
      </c>
      <c r="J19" s="3">
        <v>2</v>
      </c>
      <c r="L19" s="3">
        <f t="shared" si="1"/>
        <v>111</v>
      </c>
      <c r="N19" s="3">
        <v>35</v>
      </c>
      <c r="P19" s="3">
        <v>2</v>
      </c>
    </row>
    <row r="20" spans="2:16" ht="12" customHeight="1">
      <c r="B20" s="9" t="s">
        <v>26</v>
      </c>
      <c r="C20" s="3">
        <f t="shared" si="0"/>
        <v>42</v>
      </c>
      <c r="D20" s="3">
        <v>20</v>
      </c>
      <c r="E20" s="3">
        <v>22</v>
      </c>
      <c r="L20" s="3">
        <f t="shared" si="1"/>
        <v>38</v>
      </c>
      <c r="N20" s="3">
        <v>4</v>
      </c>
      <c r="P20" s="3">
        <v>1</v>
      </c>
    </row>
    <row r="21" spans="2:14" ht="12" customHeight="1">
      <c r="B21" s="9" t="s">
        <v>27</v>
      </c>
      <c r="C21" s="3">
        <f t="shared" si="0"/>
        <v>9</v>
      </c>
      <c r="D21" s="3">
        <v>3</v>
      </c>
      <c r="E21" s="3">
        <v>6</v>
      </c>
      <c r="J21" s="3">
        <v>1</v>
      </c>
      <c r="L21" s="3">
        <f t="shared" si="1"/>
        <v>6</v>
      </c>
      <c r="N21" s="3">
        <v>3</v>
      </c>
    </row>
    <row r="22" spans="2:16" ht="12" customHeight="1">
      <c r="B22" s="9" t="s">
        <v>28</v>
      </c>
      <c r="C22" s="3">
        <f t="shared" si="0"/>
        <v>5</v>
      </c>
      <c r="D22" s="3">
        <v>0</v>
      </c>
      <c r="E22" s="3">
        <v>5</v>
      </c>
      <c r="L22" s="3">
        <f t="shared" si="1"/>
        <v>4</v>
      </c>
      <c r="N22" s="3">
        <v>1</v>
      </c>
      <c r="P22" s="3">
        <v>1</v>
      </c>
    </row>
    <row r="23" spans="2:14" ht="12" customHeight="1">
      <c r="B23" s="9" t="s">
        <v>29</v>
      </c>
      <c r="C23" s="3">
        <f t="shared" si="0"/>
        <v>16</v>
      </c>
      <c r="D23" s="3">
        <v>10</v>
      </c>
      <c r="E23" s="3">
        <v>6</v>
      </c>
      <c r="L23" s="3">
        <f t="shared" si="1"/>
        <v>10</v>
      </c>
      <c r="N23" s="3">
        <v>6</v>
      </c>
    </row>
    <row r="24" spans="2:14" ht="12" customHeight="1">
      <c r="B24" s="9" t="s">
        <v>30</v>
      </c>
      <c r="C24" s="3">
        <f t="shared" si="0"/>
        <v>21</v>
      </c>
      <c r="D24" s="3">
        <v>7</v>
      </c>
      <c r="E24" s="3">
        <v>14</v>
      </c>
      <c r="L24" s="3">
        <f t="shared" si="1"/>
        <v>18</v>
      </c>
      <c r="N24" s="3">
        <v>3</v>
      </c>
    </row>
    <row r="25" spans="2:16" ht="12.75">
      <c r="B25" s="9" t="s">
        <v>31</v>
      </c>
      <c r="C25" s="3">
        <f t="shared" si="0"/>
        <v>26</v>
      </c>
      <c r="D25" s="3">
        <v>10</v>
      </c>
      <c r="E25" s="3">
        <v>16</v>
      </c>
      <c r="H25" s="3">
        <v>1</v>
      </c>
      <c r="I25" s="3">
        <v>1</v>
      </c>
      <c r="J25" s="3">
        <v>3</v>
      </c>
      <c r="L25" s="3">
        <f t="shared" si="1"/>
        <v>10</v>
      </c>
      <c r="N25" s="3">
        <v>16</v>
      </c>
      <c r="P25" s="3">
        <v>10</v>
      </c>
    </row>
    <row r="26" spans="2:14" ht="12" customHeight="1">
      <c r="B26" s="9" t="s">
        <v>32</v>
      </c>
      <c r="C26" s="3">
        <f aca="true" t="shared" si="2" ref="C26:C35">D26+E26</f>
        <v>97</v>
      </c>
      <c r="D26" s="3">
        <v>79</v>
      </c>
      <c r="E26" s="3">
        <v>18</v>
      </c>
      <c r="L26" s="3">
        <f aca="true" t="shared" si="3" ref="L26:L35">(C26-N26)</f>
        <v>94</v>
      </c>
      <c r="N26" s="3">
        <v>3</v>
      </c>
    </row>
    <row r="27" spans="2:16" ht="12.75">
      <c r="B27" s="9" t="s">
        <v>33</v>
      </c>
      <c r="C27" s="3">
        <f t="shared" si="2"/>
        <v>59</v>
      </c>
      <c r="D27" s="3">
        <v>11</v>
      </c>
      <c r="E27" s="3">
        <v>48</v>
      </c>
      <c r="I27" s="3">
        <v>2</v>
      </c>
      <c r="J27" s="3">
        <v>2</v>
      </c>
      <c r="L27" s="3">
        <f t="shared" si="3"/>
        <v>44</v>
      </c>
      <c r="N27" s="3">
        <v>15</v>
      </c>
      <c r="P27" s="3">
        <v>1</v>
      </c>
    </row>
    <row r="28" spans="2:14" ht="12" customHeight="1">
      <c r="B28" s="9" t="s">
        <v>34</v>
      </c>
      <c r="C28" s="3">
        <f t="shared" si="2"/>
        <v>22</v>
      </c>
      <c r="D28" s="3">
        <v>14</v>
      </c>
      <c r="E28" s="3">
        <v>8</v>
      </c>
      <c r="H28" s="3">
        <v>1</v>
      </c>
      <c r="I28" s="3">
        <v>1</v>
      </c>
      <c r="L28" s="3">
        <f t="shared" si="3"/>
        <v>16</v>
      </c>
      <c r="N28" s="3">
        <v>6</v>
      </c>
    </row>
    <row r="29" spans="2:16" ht="12" customHeight="1">
      <c r="B29" s="9" t="s">
        <v>35</v>
      </c>
      <c r="C29" s="3">
        <f t="shared" si="2"/>
        <v>280</v>
      </c>
      <c r="D29" s="3">
        <v>176</v>
      </c>
      <c r="E29" s="3">
        <v>104</v>
      </c>
      <c r="J29" s="3">
        <v>3</v>
      </c>
      <c r="L29" s="3">
        <f t="shared" si="3"/>
        <v>240</v>
      </c>
      <c r="N29" s="3">
        <f>23+17</f>
        <v>40</v>
      </c>
      <c r="P29" s="3">
        <v>3</v>
      </c>
    </row>
    <row r="30" spans="2:14" ht="12.75">
      <c r="B30" s="9" t="s">
        <v>36</v>
      </c>
      <c r="C30" s="3">
        <f t="shared" si="2"/>
        <v>93</v>
      </c>
      <c r="D30" s="3">
        <v>22</v>
      </c>
      <c r="E30" s="3">
        <v>71</v>
      </c>
      <c r="H30" s="3">
        <v>5</v>
      </c>
      <c r="I30" s="3">
        <v>1</v>
      </c>
      <c r="J30" s="3">
        <v>7</v>
      </c>
      <c r="L30" s="3">
        <f t="shared" si="3"/>
        <v>73</v>
      </c>
      <c r="N30" s="3">
        <v>20</v>
      </c>
    </row>
    <row r="31" spans="2:16" ht="12" customHeight="1">
      <c r="B31" s="9" t="s">
        <v>37</v>
      </c>
      <c r="C31" s="3">
        <f t="shared" si="2"/>
        <v>3</v>
      </c>
      <c r="D31" s="3">
        <v>1</v>
      </c>
      <c r="E31" s="3">
        <v>2</v>
      </c>
      <c r="L31" s="3">
        <f t="shared" si="3"/>
        <v>2</v>
      </c>
      <c r="N31" s="3">
        <v>1</v>
      </c>
      <c r="P31" s="3">
        <v>1</v>
      </c>
    </row>
    <row r="32" spans="2:14" ht="12.75">
      <c r="B32" s="9" t="s">
        <v>38</v>
      </c>
      <c r="C32" s="3">
        <f t="shared" si="2"/>
        <v>14</v>
      </c>
      <c r="D32" s="3">
        <v>4</v>
      </c>
      <c r="E32" s="3">
        <v>10</v>
      </c>
      <c r="L32" s="3">
        <f t="shared" si="3"/>
        <v>12</v>
      </c>
      <c r="N32" s="3">
        <v>2</v>
      </c>
    </row>
    <row r="33" spans="2:16" ht="12" customHeight="1">
      <c r="B33" s="9" t="s">
        <v>39</v>
      </c>
      <c r="C33" s="3">
        <f t="shared" si="2"/>
        <v>24</v>
      </c>
      <c r="D33" s="3">
        <v>13</v>
      </c>
      <c r="E33" s="3">
        <v>11</v>
      </c>
      <c r="L33" s="3">
        <f t="shared" si="3"/>
        <v>12</v>
      </c>
      <c r="N33" s="3">
        <f>5+7</f>
        <v>12</v>
      </c>
      <c r="P33" s="3">
        <v>1</v>
      </c>
    </row>
    <row r="34" spans="2:14" ht="12" customHeight="1">
      <c r="B34" s="9" t="s">
        <v>40</v>
      </c>
      <c r="C34" s="3">
        <f t="shared" si="2"/>
        <v>33</v>
      </c>
      <c r="D34" s="3">
        <v>4</v>
      </c>
      <c r="E34" s="3">
        <v>29</v>
      </c>
      <c r="H34" s="3">
        <v>2</v>
      </c>
      <c r="L34" s="3">
        <f t="shared" si="3"/>
        <v>29</v>
      </c>
      <c r="N34" s="3">
        <v>4</v>
      </c>
    </row>
    <row r="35" spans="2:16" ht="12" customHeight="1">
      <c r="B35" s="9" t="s">
        <v>41</v>
      </c>
      <c r="C35" s="3">
        <f t="shared" si="2"/>
        <v>29</v>
      </c>
      <c r="D35" s="3">
        <v>6</v>
      </c>
      <c r="E35" s="3">
        <v>23</v>
      </c>
      <c r="H35" s="3">
        <v>2</v>
      </c>
      <c r="L35" s="3">
        <f t="shared" si="3"/>
        <v>20</v>
      </c>
      <c r="N35" s="3">
        <v>9</v>
      </c>
      <c r="P35" s="3">
        <v>1</v>
      </c>
    </row>
    <row r="37" spans="1:16" ht="12.75">
      <c r="A37" s="9" t="s">
        <v>5</v>
      </c>
      <c r="C37" s="3">
        <f>SUM(C9:C35)</f>
        <v>2758</v>
      </c>
      <c r="D37" s="3">
        <f>SUM(D9:D35)</f>
        <v>1589</v>
      </c>
      <c r="E37" s="3">
        <f>SUM(E9:E35)</f>
        <v>1169</v>
      </c>
      <c r="G37" s="3">
        <f>SUM(G9:G35)</f>
        <v>8</v>
      </c>
      <c r="H37" s="3">
        <f>SUM(H9:H35)</f>
        <v>28</v>
      </c>
      <c r="I37" s="3">
        <f>SUM(I9:I35)</f>
        <v>16</v>
      </c>
      <c r="J37" s="3">
        <f>SUM(J9:J35)</f>
        <v>39</v>
      </c>
      <c r="L37" s="3">
        <f>SUM(L9:L35)</f>
        <v>2363</v>
      </c>
      <c r="N37" s="3">
        <f>SUM(N9:N35)</f>
        <v>395</v>
      </c>
      <c r="P37" s="3">
        <f>SUM(P9:P35)</f>
        <v>32</v>
      </c>
    </row>
    <row r="43" spans="1:17" ht="15.75">
      <c r="A43" s="1" t="s">
        <v>169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5" spans="8:16" ht="12.75">
      <c r="H45" s="4" t="s">
        <v>1</v>
      </c>
      <c r="N45" s="5" t="s">
        <v>2</v>
      </c>
      <c r="P45" s="5" t="s">
        <v>3</v>
      </c>
    </row>
    <row r="46" spans="1:16" ht="12.75">
      <c r="A46" s="4" t="s">
        <v>42</v>
      </c>
      <c r="C46" s="7" t="s">
        <v>5</v>
      </c>
      <c r="D46" s="7" t="s">
        <v>6</v>
      </c>
      <c r="E46" s="7" t="s">
        <v>7</v>
      </c>
      <c r="F46" s="6"/>
      <c r="G46" s="7" t="s">
        <v>8</v>
      </c>
      <c r="H46" s="7" t="s">
        <v>9</v>
      </c>
      <c r="I46" s="7" t="s">
        <v>10</v>
      </c>
      <c r="J46" s="7" t="s">
        <v>11</v>
      </c>
      <c r="K46" s="6"/>
      <c r="L46" s="8" t="s">
        <v>12</v>
      </c>
      <c r="M46" s="6"/>
      <c r="N46" s="8" t="s">
        <v>13</v>
      </c>
      <c r="O46" s="6"/>
      <c r="P46" s="8" t="s">
        <v>14</v>
      </c>
    </row>
    <row r="47" spans="2:16" ht="12.75">
      <c r="B47" s="9" t="s">
        <v>43</v>
      </c>
      <c r="C47" s="3">
        <f aca="true" t="shared" si="4" ref="C47:C56">D47+E47</f>
        <v>20</v>
      </c>
      <c r="D47" s="3">
        <v>7</v>
      </c>
      <c r="E47" s="3">
        <v>13</v>
      </c>
      <c r="L47" s="3">
        <f aca="true" t="shared" si="5" ref="L47:L56">(C47-N47)</f>
        <v>10</v>
      </c>
      <c r="N47" s="3">
        <v>10</v>
      </c>
      <c r="P47" s="3">
        <v>8</v>
      </c>
    </row>
    <row r="48" spans="2:14" ht="12.75">
      <c r="B48" s="9" t="s">
        <v>44</v>
      </c>
      <c r="C48" s="3">
        <f t="shared" si="4"/>
        <v>54</v>
      </c>
      <c r="D48" s="3">
        <v>32</v>
      </c>
      <c r="E48" s="3">
        <v>22</v>
      </c>
      <c r="I48" s="3">
        <v>1</v>
      </c>
      <c r="J48" s="3">
        <v>2</v>
      </c>
      <c r="L48" s="3">
        <f t="shared" si="5"/>
        <v>47</v>
      </c>
      <c r="N48" s="3">
        <v>7</v>
      </c>
    </row>
    <row r="49" spans="2:16" ht="12.75">
      <c r="B49" s="9" t="s">
        <v>45</v>
      </c>
      <c r="C49" s="3">
        <f t="shared" si="4"/>
        <v>213</v>
      </c>
      <c r="D49" s="3">
        <v>84</v>
      </c>
      <c r="E49" s="3">
        <v>129</v>
      </c>
      <c r="G49" s="3">
        <v>1</v>
      </c>
      <c r="H49" s="3">
        <v>1</v>
      </c>
      <c r="I49" s="3">
        <v>6</v>
      </c>
      <c r="J49" s="3">
        <v>1</v>
      </c>
      <c r="L49" s="3">
        <f t="shared" si="5"/>
        <v>179</v>
      </c>
      <c r="N49" s="3">
        <f>15+19</f>
        <v>34</v>
      </c>
      <c r="P49" s="3">
        <v>15</v>
      </c>
    </row>
    <row r="50" spans="2:16" ht="12.75">
      <c r="B50" s="9" t="s">
        <v>46</v>
      </c>
      <c r="C50" s="3">
        <f t="shared" si="4"/>
        <v>274</v>
      </c>
      <c r="D50" s="3">
        <v>172</v>
      </c>
      <c r="E50" s="3">
        <v>102</v>
      </c>
      <c r="G50" s="3">
        <v>1</v>
      </c>
      <c r="H50" s="3">
        <v>5</v>
      </c>
      <c r="I50" s="3">
        <v>7</v>
      </c>
      <c r="J50" s="3">
        <v>1</v>
      </c>
      <c r="L50" s="3">
        <f t="shared" si="5"/>
        <v>227</v>
      </c>
      <c r="N50" s="3">
        <f>29+18</f>
        <v>47</v>
      </c>
      <c r="P50" s="3">
        <v>15</v>
      </c>
    </row>
    <row r="51" spans="2:16" ht="12.75">
      <c r="B51" s="9" t="s">
        <v>47</v>
      </c>
      <c r="C51" s="3">
        <f t="shared" si="4"/>
        <v>141</v>
      </c>
      <c r="D51" s="3">
        <v>68</v>
      </c>
      <c r="E51" s="3">
        <v>73</v>
      </c>
      <c r="H51" s="3">
        <v>4</v>
      </c>
      <c r="I51" s="3">
        <v>5</v>
      </c>
      <c r="J51" s="3">
        <v>1</v>
      </c>
      <c r="L51" s="3">
        <f t="shared" si="5"/>
        <v>129</v>
      </c>
      <c r="N51" s="3">
        <f>5+7</f>
        <v>12</v>
      </c>
      <c r="P51" s="3">
        <v>3</v>
      </c>
    </row>
    <row r="52" spans="2:16" ht="12.75">
      <c r="B52" s="9" t="s">
        <v>48</v>
      </c>
      <c r="C52" s="3">
        <f t="shared" si="4"/>
        <v>566</v>
      </c>
      <c r="D52" s="3">
        <v>408</v>
      </c>
      <c r="E52" s="3">
        <v>158</v>
      </c>
      <c r="G52" s="3">
        <v>1</v>
      </c>
      <c r="H52" s="3">
        <v>9</v>
      </c>
      <c r="I52" s="3">
        <f>20+17</f>
        <v>37</v>
      </c>
      <c r="J52" s="3">
        <v>3</v>
      </c>
      <c r="L52" s="3">
        <f t="shared" si="5"/>
        <v>440</v>
      </c>
      <c r="N52" s="3">
        <f>69+57</f>
        <v>126</v>
      </c>
      <c r="P52" s="3">
        <f>25+46</f>
        <v>71</v>
      </c>
    </row>
    <row r="53" spans="2:16" ht="12.75">
      <c r="B53" s="9" t="s">
        <v>49</v>
      </c>
      <c r="C53" s="3">
        <f t="shared" si="4"/>
        <v>293</v>
      </c>
      <c r="D53" s="3">
        <v>129</v>
      </c>
      <c r="E53" s="3">
        <v>164</v>
      </c>
      <c r="H53" s="3">
        <v>5</v>
      </c>
      <c r="I53" s="3">
        <v>7</v>
      </c>
      <c r="J53" s="3">
        <v>3</v>
      </c>
      <c r="L53" s="3">
        <f t="shared" si="5"/>
        <v>230</v>
      </c>
      <c r="N53" s="3">
        <f>30+33</f>
        <v>63</v>
      </c>
      <c r="P53" s="3">
        <f>7+9</f>
        <v>16</v>
      </c>
    </row>
    <row r="54" spans="2:16" ht="12.75">
      <c r="B54" s="9" t="s">
        <v>50</v>
      </c>
      <c r="C54" s="3">
        <f t="shared" si="4"/>
        <v>1847</v>
      </c>
      <c r="D54" s="3">
        <v>1176</v>
      </c>
      <c r="E54" s="3">
        <v>671</v>
      </c>
      <c r="G54" s="3">
        <v>8</v>
      </c>
      <c r="H54" s="3">
        <f>42+34</f>
        <v>76</v>
      </c>
      <c r="I54" s="3">
        <f>30+37</f>
        <v>67</v>
      </c>
      <c r="J54" s="3">
        <v>30</v>
      </c>
      <c r="L54" s="3">
        <f t="shared" si="5"/>
        <v>1454</v>
      </c>
      <c r="N54" s="3">
        <f>245+148</f>
        <v>393</v>
      </c>
      <c r="P54" s="3">
        <f>54+44</f>
        <v>98</v>
      </c>
    </row>
    <row r="55" spans="2:16" ht="12.75">
      <c r="B55" s="9" t="s">
        <v>51</v>
      </c>
      <c r="C55" s="3">
        <f t="shared" si="4"/>
        <v>20</v>
      </c>
      <c r="D55" s="3">
        <v>13</v>
      </c>
      <c r="E55" s="3">
        <v>7</v>
      </c>
      <c r="L55" s="3">
        <f t="shared" si="5"/>
        <v>13</v>
      </c>
      <c r="N55" s="3">
        <f>3+4</f>
        <v>7</v>
      </c>
      <c r="P55" s="3">
        <v>3</v>
      </c>
    </row>
    <row r="56" spans="2:16" ht="12.75">
      <c r="B56" s="9" t="s">
        <v>52</v>
      </c>
      <c r="C56" s="3">
        <f t="shared" si="4"/>
        <v>128</v>
      </c>
      <c r="D56" s="3">
        <v>85</v>
      </c>
      <c r="E56" s="3">
        <v>43</v>
      </c>
      <c r="G56" s="3">
        <v>1</v>
      </c>
      <c r="H56" s="3">
        <v>1</v>
      </c>
      <c r="I56" s="3">
        <v>4</v>
      </c>
      <c r="J56" s="3">
        <v>1</v>
      </c>
      <c r="L56" s="3">
        <f t="shared" si="5"/>
        <v>108</v>
      </c>
      <c r="N56" s="3">
        <f>15+5</f>
        <v>20</v>
      </c>
      <c r="P56" s="3">
        <v>3</v>
      </c>
    </row>
    <row r="58" spans="1:16" ht="12.75">
      <c r="A58" s="9" t="s">
        <v>5</v>
      </c>
      <c r="C58" s="3">
        <f>SUM(C46:C56)</f>
        <v>3556</v>
      </c>
      <c r="D58" s="3">
        <f>SUM(D46:D56)</f>
        <v>2174</v>
      </c>
      <c r="E58" s="3">
        <f>SUM(E46:E56)</f>
        <v>1382</v>
      </c>
      <c r="G58" s="3">
        <f>SUM(G47:G56)</f>
        <v>12</v>
      </c>
      <c r="H58" s="3">
        <f>SUM(H47:H56)</f>
        <v>101</v>
      </c>
      <c r="I58" s="3">
        <f>SUM(I47:I56)</f>
        <v>134</v>
      </c>
      <c r="J58" s="3">
        <f>SUM(J47:J56)</f>
        <v>42</v>
      </c>
      <c r="L58" s="3">
        <f>SUM(L46:L56)</f>
        <v>2837</v>
      </c>
      <c r="N58" s="3">
        <f>SUM(N46:N56)</f>
        <v>719</v>
      </c>
      <c r="P58" s="3">
        <f>SUM(P46:P56)</f>
        <v>232</v>
      </c>
    </row>
    <row r="62" spans="7:16" ht="12.75">
      <c r="G62" s="6"/>
      <c r="H62" s="4" t="s">
        <v>1</v>
      </c>
      <c r="N62" s="5" t="s">
        <v>2</v>
      </c>
      <c r="P62" s="5" t="s">
        <v>3</v>
      </c>
    </row>
    <row r="63" spans="1:16" ht="12.75">
      <c r="A63" s="4" t="s">
        <v>53</v>
      </c>
      <c r="B63" s="6"/>
      <c r="C63" s="7" t="s">
        <v>5</v>
      </c>
      <c r="D63" s="7" t="s">
        <v>6</v>
      </c>
      <c r="E63" s="7" t="s">
        <v>7</v>
      </c>
      <c r="F63" s="6"/>
      <c r="G63" s="7" t="s">
        <v>8</v>
      </c>
      <c r="H63" s="7" t="s">
        <v>9</v>
      </c>
      <c r="I63" s="7" t="s">
        <v>10</v>
      </c>
      <c r="J63" s="7" t="s">
        <v>11</v>
      </c>
      <c r="K63" s="6"/>
      <c r="L63" s="8" t="s">
        <v>12</v>
      </c>
      <c r="M63" s="6"/>
      <c r="N63" s="8" t="s">
        <v>13</v>
      </c>
      <c r="O63" s="6"/>
      <c r="P63" s="8" t="s">
        <v>14</v>
      </c>
    </row>
    <row r="64" spans="2:16" ht="12" customHeight="1">
      <c r="B64" s="9" t="s">
        <v>54</v>
      </c>
      <c r="C64" s="3">
        <f aca="true" t="shared" si="6" ref="C64:C75">D64+E64</f>
        <v>6</v>
      </c>
      <c r="D64" s="3">
        <v>0</v>
      </c>
      <c r="E64" s="3">
        <v>6</v>
      </c>
      <c r="I64" s="3">
        <v>1</v>
      </c>
      <c r="L64" s="3">
        <f aca="true" t="shared" si="7" ref="L64:L75">(C64-N64)</f>
        <v>4</v>
      </c>
      <c r="N64" s="3">
        <v>2</v>
      </c>
      <c r="P64" s="3">
        <v>2</v>
      </c>
    </row>
    <row r="65" spans="2:14" ht="12" customHeight="1">
      <c r="B65" s="9" t="s">
        <v>55</v>
      </c>
      <c r="C65" s="3">
        <f t="shared" si="6"/>
        <v>0</v>
      </c>
      <c r="D65" s="3">
        <v>0</v>
      </c>
      <c r="E65" s="3">
        <v>0</v>
      </c>
      <c r="L65" s="3">
        <f t="shared" si="7"/>
        <v>0</v>
      </c>
      <c r="N65" s="3">
        <v>0</v>
      </c>
    </row>
    <row r="66" spans="2:16" ht="12" customHeight="1">
      <c r="B66" s="9" t="s">
        <v>56</v>
      </c>
      <c r="C66" s="3">
        <f t="shared" si="6"/>
        <v>258</v>
      </c>
      <c r="D66" s="3">
        <v>170</v>
      </c>
      <c r="E66" s="3">
        <v>88</v>
      </c>
      <c r="G66" s="3">
        <v>1</v>
      </c>
      <c r="H66" s="3">
        <v>1</v>
      </c>
      <c r="I66" s="3">
        <v>12</v>
      </c>
      <c r="J66" s="3">
        <v>3</v>
      </c>
      <c r="L66" s="3">
        <f t="shared" si="7"/>
        <v>187</v>
      </c>
      <c r="N66" s="3">
        <f>43+28</f>
        <v>71</v>
      </c>
      <c r="P66" s="3">
        <v>15</v>
      </c>
    </row>
    <row r="67" spans="2:16" ht="12" customHeight="1">
      <c r="B67" s="9" t="s">
        <v>57</v>
      </c>
      <c r="C67" s="3">
        <f t="shared" si="6"/>
        <v>507</v>
      </c>
      <c r="D67" s="3">
        <v>180</v>
      </c>
      <c r="E67" s="3">
        <v>327</v>
      </c>
      <c r="G67" s="3">
        <v>5</v>
      </c>
      <c r="H67" s="3">
        <v>6</v>
      </c>
      <c r="I67" s="3">
        <v>11</v>
      </c>
      <c r="J67" s="3">
        <v>12</v>
      </c>
      <c r="L67" s="3">
        <f t="shared" si="7"/>
        <v>428</v>
      </c>
      <c r="N67" s="3">
        <f>31+48</f>
        <v>79</v>
      </c>
      <c r="P67" s="3">
        <v>14</v>
      </c>
    </row>
    <row r="68" spans="2:14" ht="12" customHeight="1">
      <c r="B68" s="9" t="s">
        <v>58</v>
      </c>
      <c r="C68" s="3">
        <f t="shared" si="6"/>
        <v>34</v>
      </c>
      <c r="D68" s="3">
        <v>8</v>
      </c>
      <c r="E68" s="3">
        <v>26</v>
      </c>
      <c r="I68" s="3">
        <v>1</v>
      </c>
      <c r="L68" s="3">
        <f t="shared" si="7"/>
        <v>34</v>
      </c>
      <c r="N68" s="3">
        <v>0</v>
      </c>
    </row>
    <row r="69" spans="2:16" ht="12" customHeight="1">
      <c r="B69" s="9" t="s">
        <v>59</v>
      </c>
      <c r="C69" s="3">
        <f t="shared" si="6"/>
        <v>205</v>
      </c>
      <c r="D69" s="3">
        <v>91</v>
      </c>
      <c r="E69" s="3">
        <v>114</v>
      </c>
      <c r="G69" s="3">
        <v>1</v>
      </c>
      <c r="H69" s="3">
        <v>5</v>
      </c>
      <c r="I69" s="3">
        <v>6</v>
      </c>
      <c r="J69" s="3">
        <v>2</v>
      </c>
      <c r="L69" s="3">
        <f t="shared" si="7"/>
        <v>176</v>
      </c>
      <c r="N69" s="3">
        <f>19+10</f>
        <v>29</v>
      </c>
      <c r="P69" s="3">
        <v>3</v>
      </c>
    </row>
    <row r="70" spans="2:16" ht="12" customHeight="1">
      <c r="B70" s="9" t="s">
        <v>60</v>
      </c>
      <c r="C70" s="3">
        <f t="shared" si="6"/>
        <v>110</v>
      </c>
      <c r="D70" s="3">
        <v>78</v>
      </c>
      <c r="E70" s="3">
        <v>32</v>
      </c>
      <c r="G70" s="3">
        <v>1</v>
      </c>
      <c r="H70" s="3">
        <v>1</v>
      </c>
      <c r="I70" s="3">
        <v>1</v>
      </c>
      <c r="J70" s="3">
        <v>1</v>
      </c>
      <c r="L70" s="3">
        <f t="shared" si="7"/>
        <v>82</v>
      </c>
      <c r="N70" s="3">
        <f>18+10</f>
        <v>28</v>
      </c>
      <c r="P70" s="3">
        <v>2</v>
      </c>
    </row>
    <row r="71" spans="2:16" ht="12" customHeight="1">
      <c r="B71" s="9" t="s">
        <v>61</v>
      </c>
      <c r="C71" s="3">
        <f t="shared" si="6"/>
        <v>175</v>
      </c>
      <c r="D71" s="3">
        <v>65</v>
      </c>
      <c r="E71" s="3">
        <v>110</v>
      </c>
      <c r="H71" s="3">
        <v>2</v>
      </c>
      <c r="I71" s="3">
        <v>3</v>
      </c>
      <c r="J71" s="3">
        <v>2</v>
      </c>
      <c r="L71" s="3">
        <f t="shared" si="7"/>
        <v>135</v>
      </c>
      <c r="N71" s="3">
        <f>12+28</f>
        <v>40</v>
      </c>
      <c r="P71" s="3">
        <v>12</v>
      </c>
    </row>
    <row r="72" spans="2:16" ht="12" customHeight="1">
      <c r="B72" s="9" t="s">
        <v>62</v>
      </c>
      <c r="C72" s="3">
        <f t="shared" si="6"/>
        <v>60</v>
      </c>
      <c r="D72" s="3">
        <v>4</v>
      </c>
      <c r="E72" s="3">
        <v>56</v>
      </c>
      <c r="I72" s="3">
        <v>1</v>
      </c>
      <c r="J72" s="3">
        <v>2</v>
      </c>
      <c r="L72" s="3">
        <f t="shared" si="7"/>
        <v>47</v>
      </c>
      <c r="N72" s="3">
        <v>13</v>
      </c>
      <c r="P72" s="3">
        <v>2</v>
      </c>
    </row>
    <row r="73" spans="2:16" ht="12" customHeight="1">
      <c r="B73" s="9" t="s">
        <v>63</v>
      </c>
      <c r="C73" s="3">
        <f t="shared" si="6"/>
        <v>106</v>
      </c>
      <c r="D73" s="3">
        <v>73</v>
      </c>
      <c r="E73" s="3">
        <v>33</v>
      </c>
      <c r="G73" s="3">
        <v>1</v>
      </c>
      <c r="H73" s="3">
        <v>2</v>
      </c>
      <c r="I73" s="3">
        <v>1</v>
      </c>
      <c r="J73" s="3">
        <v>1</v>
      </c>
      <c r="L73" s="3">
        <f t="shared" si="7"/>
        <v>81</v>
      </c>
      <c r="N73" s="3">
        <f>15+10</f>
        <v>25</v>
      </c>
      <c r="P73" s="3">
        <v>2</v>
      </c>
    </row>
    <row r="74" spans="2:16" ht="12" customHeight="1">
      <c r="B74" s="9" t="s">
        <v>64</v>
      </c>
      <c r="C74" s="3">
        <f t="shared" si="6"/>
        <v>254</v>
      </c>
      <c r="D74" s="3">
        <v>168</v>
      </c>
      <c r="E74" s="3">
        <v>86</v>
      </c>
      <c r="H74" s="3">
        <v>4</v>
      </c>
      <c r="I74" s="3">
        <v>3</v>
      </c>
      <c r="J74" s="3">
        <v>7</v>
      </c>
      <c r="L74" s="3">
        <f t="shared" si="7"/>
        <v>165</v>
      </c>
      <c r="N74" s="3">
        <f>63+26</f>
        <v>89</v>
      </c>
      <c r="P74" s="3">
        <v>11</v>
      </c>
    </row>
    <row r="75" spans="2:14" ht="12" customHeight="1">
      <c r="B75" s="9" t="s">
        <v>65</v>
      </c>
      <c r="C75" s="3">
        <f t="shared" si="6"/>
        <v>91</v>
      </c>
      <c r="D75" s="3">
        <v>59</v>
      </c>
      <c r="E75" s="3">
        <v>32</v>
      </c>
      <c r="I75" s="3">
        <v>2</v>
      </c>
      <c r="L75" s="3">
        <f t="shared" si="7"/>
        <v>66</v>
      </c>
      <c r="N75" s="3">
        <f>14+11</f>
        <v>25</v>
      </c>
    </row>
    <row r="77" spans="1:16" ht="12.75">
      <c r="A77" s="9" t="s">
        <v>5</v>
      </c>
      <c r="C77" s="3">
        <f>SUM(C64:C75)</f>
        <v>1806</v>
      </c>
      <c r="D77" s="3">
        <f>SUM(D64:D75)</f>
        <v>896</v>
      </c>
      <c r="E77" s="3">
        <f>SUM(E64:E75)</f>
        <v>910</v>
      </c>
      <c r="G77" s="3">
        <f>SUM(G64:G75)</f>
        <v>9</v>
      </c>
      <c r="H77" s="3">
        <f>SUM(H64:H75)</f>
        <v>21</v>
      </c>
      <c r="I77" s="3">
        <f>SUM(I64:I75)</f>
        <v>42</v>
      </c>
      <c r="J77" s="3">
        <f>SUM(J64:J75)</f>
        <v>30</v>
      </c>
      <c r="L77" s="3">
        <f>SUM(L64:L75)</f>
        <v>1405</v>
      </c>
      <c r="N77" s="3">
        <f>SUM(N64:N75)</f>
        <v>401</v>
      </c>
      <c r="P77" s="3">
        <f>SUM(P64:P75)</f>
        <v>63</v>
      </c>
    </row>
    <row r="81" spans="8:16" ht="12.75">
      <c r="H81" s="4" t="s">
        <v>1</v>
      </c>
      <c r="N81" s="5" t="s">
        <v>2</v>
      </c>
      <c r="P81" s="5" t="s">
        <v>3</v>
      </c>
    </row>
    <row r="82" spans="1:16" ht="12.75">
      <c r="A82" s="4" t="s">
        <v>66</v>
      </c>
      <c r="B82" s="6"/>
      <c r="C82" s="7" t="s">
        <v>5</v>
      </c>
      <c r="D82" s="7" t="s">
        <v>6</v>
      </c>
      <c r="E82" s="7" t="s">
        <v>7</v>
      </c>
      <c r="F82" s="6"/>
      <c r="G82" s="7" t="s">
        <v>8</v>
      </c>
      <c r="H82" s="7" t="s">
        <v>9</v>
      </c>
      <c r="I82" s="7" t="s">
        <v>10</v>
      </c>
      <c r="J82" s="7" t="s">
        <v>11</v>
      </c>
      <c r="K82" s="6"/>
      <c r="L82" s="8" t="s">
        <v>12</v>
      </c>
      <c r="M82" s="6"/>
      <c r="N82" s="8" t="s">
        <v>13</v>
      </c>
      <c r="O82" s="6"/>
      <c r="P82" s="8" t="s">
        <v>14</v>
      </c>
    </row>
    <row r="83" spans="2:16" ht="12" customHeight="1">
      <c r="B83" s="9" t="s">
        <v>67</v>
      </c>
      <c r="C83" s="3">
        <f aca="true" t="shared" si="8" ref="C83:C89">D83+E83</f>
        <v>54</v>
      </c>
      <c r="D83" s="3">
        <v>31</v>
      </c>
      <c r="E83" s="3">
        <v>23</v>
      </c>
      <c r="I83" s="3">
        <v>1</v>
      </c>
      <c r="J83" s="3">
        <v>1</v>
      </c>
      <c r="L83" s="3">
        <f aca="true" t="shared" si="9" ref="L83:L89">(C83-N83)</f>
        <v>48</v>
      </c>
      <c r="N83" s="3">
        <v>6</v>
      </c>
      <c r="P83" s="3">
        <v>4</v>
      </c>
    </row>
    <row r="84" spans="2:14" ht="12" customHeight="1">
      <c r="B84" s="9" t="s">
        <v>68</v>
      </c>
      <c r="C84" s="3">
        <f t="shared" si="8"/>
        <v>2</v>
      </c>
      <c r="D84" s="3">
        <v>1</v>
      </c>
      <c r="E84" s="3">
        <v>1</v>
      </c>
      <c r="L84" s="3">
        <f t="shared" si="9"/>
        <v>2</v>
      </c>
      <c r="N84" s="3">
        <v>0</v>
      </c>
    </row>
    <row r="85" spans="2:14" ht="12" customHeight="1">
      <c r="B85" s="9" t="s">
        <v>69</v>
      </c>
      <c r="C85" s="3">
        <f t="shared" si="8"/>
        <v>72</v>
      </c>
      <c r="D85" s="3">
        <v>5</v>
      </c>
      <c r="E85" s="3">
        <v>67</v>
      </c>
      <c r="H85" s="3">
        <v>6</v>
      </c>
      <c r="I85" s="3">
        <v>2</v>
      </c>
      <c r="J85" s="3">
        <v>1</v>
      </c>
      <c r="L85" s="3">
        <f t="shared" si="9"/>
        <v>63</v>
      </c>
      <c r="N85" s="3">
        <v>9</v>
      </c>
    </row>
    <row r="86" spans="2:16" ht="12.75">
      <c r="B86" s="9" t="s">
        <v>70</v>
      </c>
      <c r="C86" s="3">
        <f t="shared" si="8"/>
        <v>132</v>
      </c>
      <c r="D86" s="3">
        <v>5</v>
      </c>
      <c r="E86" s="3">
        <v>127</v>
      </c>
      <c r="G86" s="3">
        <v>1</v>
      </c>
      <c r="I86" s="3">
        <v>2</v>
      </c>
      <c r="J86" s="3">
        <v>1</v>
      </c>
      <c r="L86" s="3">
        <f t="shared" si="9"/>
        <v>117</v>
      </c>
      <c r="N86" s="3">
        <v>15</v>
      </c>
      <c r="P86" s="3">
        <v>1</v>
      </c>
    </row>
    <row r="87" spans="2:16" ht="12" customHeight="1">
      <c r="B87" s="9" t="s">
        <v>71</v>
      </c>
      <c r="C87" s="3">
        <f t="shared" si="8"/>
        <v>745</v>
      </c>
      <c r="D87" s="3">
        <v>106</v>
      </c>
      <c r="E87" s="3">
        <v>639</v>
      </c>
      <c r="G87" s="3">
        <v>1</v>
      </c>
      <c r="H87" s="3">
        <v>15</v>
      </c>
      <c r="I87" s="3">
        <v>6</v>
      </c>
      <c r="J87" s="3">
        <v>3</v>
      </c>
      <c r="L87" s="3">
        <f t="shared" si="9"/>
        <v>655</v>
      </c>
      <c r="N87" s="3">
        <f>11+79</f>
        <v>90</v>
      </c>
      <c r="P87" s="3">
        <v>1</v>
      </c>
    </row>
    <row r="88" spans="2:16" ht="12" customHeight="1">
      <c r="B88" s="9" t="s">
        <v>72</v>
      </c>
      <c r="C88" s="3">
        <f t="shared" si="8"/>
        <v>688</v>
      </c>
      <c r="D88" s="3">
        <v>379</v>
      </c>
      <c r="E88" s="3">
        <v>309</v>
      </c>
      <c r="G88" s="3">
        <v>6</v>
      </c>
      <c r="H88" s="3">
        <v>14</v>
      </c>
      <c r="I88" s="3">
        <v>8</v>
      </c>
      <c r="J88" s="3">
        <v>13</v>
      </c>
      <c r="L88" s="3">
        <f t="shared" si="9"/>
        <v>583</v>
      </c>
      <c r="N88" s="3">
        <f>51+54</f>
        <v>105</v>
      </c>
      <c r="P88" s="3">
        <v>8</v>
      </c>
    </row>
    <row r="89" spans="2:16" ht="12" customHeight="1">
      <c r="B89" s="9" t="s">
        <v>74</v>
      </c>
      <c r="C89" s="3">
        <f t="shared" si="8"/>
        <v>190</v>
      </c>
      <c r="D89" s="3">
        <v>179</v>
      </c>
      <c r="E89" s="3">
        <v>11</v>
      </c>
      <c r="G89" s="3">
        <v>1</v>
      </c>
      <c r="H89" s="3">
        <v>9</v>
      </c>
      <c r="I89" s="3">
        <v>5</v>
      </c>
      <c r="J89" s="3">
        <v>3</v>
      </c>
      <c r="L89" s="3">
        <f t="shared" si="9"/>
        <v>172</v>
      </c>
      <c r="N89" s="3">
        <v>18</v>
      </c>
      <c r="P89" s="3">
        <v>1</v>
      </c>
    </row>
    <row r="91" spans="1:16" ht="12.75">
      <c r="A91" s="9" t="s">
        <v>5</v>
      </c>
      <c r="C91" s="3">
        <f>SUM(C83:C89)</f>
        <v>1883</v>
      </c>
      <c r="D91" s="3">
        <f>SUM(D83:D89)</f>
        <v>706</v>
      </c>
      <c r="E91" s="3">
        <f>SUM(E83:E89)</f>
        <v>1177</v>
      </c>
      <c r="G91" s="3">
        <f>SUM(G83:G89)</f>
        <v>9</v>
      </c>
      <c r="H91" s="3">
        <f>SUM(H83:H89)</f>
        <v>44</v>
      </c>
      <c r="I91" s="3">
        <f>SUM(I83:I89)</f>
        <v>24</v>
      </c>
      <c r="J91" s="3">
        <f>SUM(J83:J89)</f>
        <v>22</v>
      </c>
      <c r="L91" s="3">
        <f>SUM(L83:L89)</f>
        <v>1640</v>
      </c>
      <c r="N91" s="3">
        <f>SUM(N83:N89)</f>
        <v>243</v>
      </c>
      <c r="P91" s="3">
        <f>SUM(P83:P89)</f>
        <v>15</v>
      </c>
    </row>
    <row r="93" spans="1:17" ht="15.75">
      <c r="A93" s="1" t="s">
        <v>169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5" spans="8:16" ht="12.75">
      <c r="H95" s="4" t="s">
        <v>1</v>
      </c>
      <c r="N95" s="5" t="s">
        <v>2</v>
      </c>
      <c r="P95" s="5" t="s">
        <v>3</v>
      </c>
    </row>
    <row r="96" spans="1:16" ht="12.75">
      <c r="A96" s="4" t="s">
        <v>75</v>
      </c>
      <c r="B96" s="6"/>
      <c r="C96" s="7" t="s">
        <v>5</v>
      </c>
      <c r="D96" s="7" t="s">
        <v>6</v>
      </c>
      <c r="E96" s="7" t="s">
        <v>7</v>
      </c>
      <c r="F96" s="6"/>
      <c r="G96" s="7" t="s">
        <v>8</v>
      </c>
      <c r="H96" s="7" t="s">
        <v>9</v>
      </c>
      <c r="I96" s="7" t="s">
        <v>10</v>
      </c>
      <c r="J96" s="7" t="s">
        <v>11</v>
      </c>
      <c r="K96" s="6"/>
      <c r="L96" s="8" t="s">
        <v>12</v>
      </c>
      <c r="M96" s="6"/>
      <c r="N96" s="8" t="s">
        <v>13</v>
      </c>
      <c r="O96" s="6"/>
      <c r="P96" s="8" t="s">
        <v>14</v>
      </c>
    </row>
    <row r="97" spans="2:16" ht="12" customHeight="1">
      <c r="B97" s="9" t="s">
        <v>76</v>
      </c>
      <c r="C97" s="3">
        <f aca="true" t="shared" si="10" ref="C97:C112">D97+E97</f>
        <v>47</v>
      </c>
      <c r="D97" s="3">
        <v>33</v>
      </c>
      <c r="E97" s="3">
        <v>14</v>
      </c>
      <c r="I97" s="3">
        <v>1</v>
      </c>
      <c r="L97" s="3">
        <f aca="true" t="shared" si="11" ref="L97:L112">(C97-N97)</f>
        <v>10</v>
      </c>
      <c r="N97" s="3">
        <v>37</v>
      </c>
      <c r="P97" s="3">
        <f>26+9</f>
        <v>35</v>
      </c>
    </row>
    <row r="98" spans="2:16" ht="12" customHeight="1">
      <c r="B98" s="9" t="s">
        <v>170</v>
      </c>
      <c r="C98" s="3">
        <f t="shared" si="10"/>
        <v>383</v>
      </c>
      <c r="D98" s="3">
        <v>310</v>
      </c>
      <c r="E98" s="3">
        <v>73</v>
      </c>
      <c r="H98" s="3">
        <v>5</v>
      </c>
      <c r="I98" s="3">
        <v>10</v>
      </c>
      <c r="J98" s="3">
        <v>5</v>
      </c>
      <c r="L98" s="3">
        <f t="shared" si="11"/>
        <v>270</v>
      </c>
      <c r="N98" s="3">
        <f>88+25</f>
        <v>113</v>
      </c>
      <c r="P98" s="3">
        <v>1</v>
      </c>
    </row>
    <row r="99" spans="2:16" ht="12" customHeight="1">
      <c r="B99" s="9" t="s">
        <v>77</v>
      </c>
      <c r="C99" s="3">
        <f t="shared" si="10"/>
        <v>311</v>
      </c>
      <c r="D99" s="3">
        <v>270</v>
      </c>
      <c r="E99" s="3">
        <v>41</v>
      </c>
      <c r="G99" s="3">
        <v>2</v>
      </c>
      <c r="H99" s="3">
        <v>5</v>
      </c>
      <c r="I99" s="3">
        <v>7</v>
      </c>
      <c r="J99" s="3">
        <v>8</v>
      </c>
      <c r="L99" s="3">
        <f t="shared" si="11"/>
        <v>175</v>
      </c>
      <c r="N99" s="3">
        <f>118+18</f>
        <v>136</v>
      </c>
      <c r="P99" s="3">
        <v>20</v>
      </c>
    </row>
    <row r="100" spans="2:16" ht="12" customHeight="1">
      <c r="B100" s="9" t="s">
        <v>78</v>
      </c>
      <c r="C100" s="3">
        <f t="shared" si="10"/>
        <v>131</v>
      </c>
      <c r="D100" s="3">
        <v>121</v>
      </c>
      <c r="E100" s="3">
        <v>10</v>
      </c>
      <c r="L100" s="3">
        <f t="shared" si="11"/>
        <v>111</v>
      </c>
      <c r="N100" s="3">
        <v>20</v>
      </c>
      <c r="P100" s="3">
        <v>1</v>
      </c>
    </row>
    <row r="101" spans="2:14" ht="12" customHeight="1">
      <c r="B101" s="9" t="s">
        <v>79</v>
      </c>
      <c r="C101" s="3">
        <f t="shared" si="10"/>
        <v>5</v>
      </c>
      <c r="D101" s="3">
        <v>5</v>
      </c>
      <c r="E101" s="3">
        <v>0</v>
      </c>
      <c r="L101" s="3">
        <f t="shared" si="11"/>
        <v>3</v>
      </c>
      <c r="N101" s="3">
        <v>2</v>
      </c>
    </row>
    <row r="102" spans="2:16" ht="12" customHeight="1">
      <c r="B102" s="9" t="s">
        <v>80</v>
      </c>
      <c r="C102" s="3">
        <f t="shared" si="10"/>
        <v>401</v>
      </c>
      <c r="D102" s="3">
        <v>237</v>
      </c>
      <c r="E102" s="3">
        <v>164</v>
      </c>
      <c r="G102" s="3">
        <v>1</v>
      </c>
      <c r="H102" s="3">
        <v>8</v>
      </c>
      <c r="I102" s="3">
        <v>10</v>
      </c>
      <c r="J102" s="3">
        <v>7</v>
      </c>
      <c r="L102" s="3">
        <f t="shared" si="11"/>
        <v>240</v>
      </c>
      <c r="N102" s="3">
        <f>89+72</f>
        <v>161</v>
      </c>
      <c r="P102" s="3">
        <v>20</v>
      </c>
    </row>
    <row r="103" spans="2:16" ht="12" customHeight="1">
      <c r="B103" s="9" t="s">
        <v>81</v>
      </c>
      <c r="C103" s="3">
        <f t="shared" si="10"/>
        <v>391</v>
      </c>
      <c r="D103" s="3">
        <v>295</v>
      </c>
      <c r="E103" s="3">
        <v>96</v>
      </c>
      <c r="H103" s="3">
        <v>8</v>
      </c>
      <c r="I103" s="3">
        <v>4</v>
      </c>
      <c r="J103" s="3">
        <v>4</v>
      </c>
      <c r="L103" s="3">
        <f t="shared" si="11"/>
        <v>279</v>
      </c>
      <c r="N103" s="3">
        <f>81+31</f>
        <v>112</v>
      </c>
      <c r="P103" s="3">
        <v>16</v>
      </c>
    </row>
    <row r="104" spans="2:16" ht="12" customHeight="1">
      <c r="B104" s="9" t="s">
        <v>82</v>
      </c>
      <c r="C104" s="3">
        <f t="shared" si="10"/>
        <v>872</v>
      </c>
      <c r="D104" s="3">
        <v>789</v>
      </c>
      <c r="E104" s="3">
        <v>83</v>
      </c>
      <c r="G104" s="3">
        <v>2</v>
      </c>
      <c r="H104" s="3">
        <f>25+9</f>
        <v>34</v>
      </c>
      <c r="I104" s="3">
        <v>57</v>
      </c>
      <c r="J104" s="3">
        <v>31</v>
      </c>
      <c r="L104" s="3">
        <f t="shared" si="11"/>
        <v>522</v>
      </c>
      <c r="N104" s="3">
        <f>304+46</f>
        <v>350</v>
      </c>
      <c r="P104" s="3">
        <f>89+18</f>
        <v>107</v>
      </c>
    </row>
    <row r="105" spans="2:16" ht="12" customHeight="1">
      <c r="B105" s="9" t="s">
        <v>83</v>
      </c>
      <c r="C105" s="3">
        <f t="shared" si="10"/>
        <v>322</v>
      </c>
      <c r="D105" s="3">
        <v>287</v>
      </c>
      <c r="E105" s="3">
        <v>35</v>
      </c>
      <c r="G105" s="3">
        <v>2</v>
      </c>
      <c r="I105" s="3">
        <v>4</v>
      </c>
      <c r="J105" s="3">
        <v>3</v>
      </c>
      <c r="L105" s="3">
        <f t="shared" si="11"/>
        <v>256</v>
      </c>
      <c r="N105" s="3">
        <f>55+11</f>
        <v>66</v>
      </c>
      <c r="P105" s="3">
        <v>8</v>
      </c>
    </row>
    <row r="106" spans="2:16" ht="12" customHeight="1">
      <c r="B106" s="9" t="s">
        <v>84</v>
      </c>
      <c r="C106" s="3">
        <f t="shared" si="10"/>
        <v>511</v>
      </c>
      <c r="D106" s="3">
        <v>472</v>
      </c>
      <c r="E106" s="3">
        <v>39</v>
      </c>
      <c r="H106" s="3">
        <v>17</v>
      </c>
      <c r="I106" s="3">
        <v>33</v>
      </c>
      <c r="J106" s="3">
        <v>7</v>
      </c>
      <c r="L106" s="3">
        <f t="shared" si="11"/>
        <v>323</v>
      </c>
      <c r="N106" s="3">
        <f>161+26+1</f>
        <v>188</v>
      </c>
      <c r="P106" s="3">
        <f>61+13</f>
        <v>74</v>
      </c>
    </row>
    <row r="107" spans="2:14" ht="12" customHeight="1">
      <c r="B107" s="9" t="s">
        <v>85</v>
      </c>
      <c r="C107" s="3">
        <f t="shared" si="10"/>
        <v>3</v>
      </c>
      <c r="D107" s="3">
        <v>3</v>
      </c>
      <c r="E107" s="3">
        <v>0</v>
      </c>
      <c r="H107" s="3">
        <v>1</v>
      </c>
      <c r="L107" s="3">
        <f t="shared" si="11"/>
        <v>2</v>
      </c>
      <c r="N107" s="3">
        <v>1</v>
      </c>
    </row>
    <row r="108" spans="2:16" ht="12" customHeight="1">
      <c r="B108" s="9" t="s">
        <v>86</v>
      </c>
      <c r="C108" s="3">
        <f t="shared" si="10"/>
        <v>20</v>
      </c>
      <c r="D108" s="3">
        <v>10</v>
      </c>
      <c r="E108" s="3">
        <v>10</v>
      </c>
      <c r="H108" s="3">
        <v>1</v>
      </c>
      <c r="I108" s="3">
        <v>1</v>
      </c>
      <c r="J108" s="3">
        <v>1</v>
      </c>
      <c r="L108" s="3">
        <f t="shared" si="11"/>
        <v>13</v>
      </c>
      <c r="N108" s="3">
        <v>7</v>
      </c>
      <c r="P108" s="3">
        <v>1</v>
      </c>
    </row>
    <row r="109" spans="2:16" ht="12" customHeight="1">
      <c r="B109" s="9" t="s">
        <v>87</v>
      </c>
      <c r="C109" s="3">
        <f t="shared" si="10"/>
        <v>216</v>
      </c>
      <c r="D109" s="3">
        <v>141</v>
      </c>
      <c r="E109" s="3">
        <v>75</v>
      </c>
      <c r="I109" s="3">
        <v>9</v>
      </c>
      <c r="J109" s="3">
        <v>3</v>
      </c>
      <c r="L109" s="3">
        <f t="shared" si="11"/>
        <v>123</v>
      </c>
      <c r="N109" s="3">
        <f>60+33</f>
        <v>93</v>
      </c>
      <c r="P109" s="3">
        <f>31+12</f>
        <v>43</v>
      </c>
    </row>
    <row r="110" spans="2:16" ht="12" customHeight="1">
      <c r="B110" s="9" t="s">
        <v>171</v>
      </c>
      <c r="C110" s="3">
        <f t="shared" si="10"/>
        <v>80</v>
      </c>
      <c r="D110" s="3">
        <v>57</v>
      </c>
      <c r="E110" s="3">
        <v>23</v>
      </c>
      <c r="I110" s="3">
        <v>1</v>
      </c>
      <c r="J110" s="3">
        <v>3</v>
      </c>
      <c r="L110" s="3">
        <f t="shared" si="11"/>
        <v>55</v>
      </c>
      <c r="N110" s="3">
        <v>25</v>
      </c>
      <c r="P110" s="3">
        <v>1</v>
      </c>
    </row>
    <row r="111" spans="2:16" ht="12" customHeight="1">
      <c r="B111" s="9" t="s">
        <v>88</v>
      </c>
      <c r="C111" s="3">
        <f t="shared" si="10"/>
        <v>907</v>
      </c>
      <c r="D111" s="3">
        <v>820</v>
      </c>
      <c r="E111" s="3">
        <v>87</v>
      </c>
      <c r="G111" s="3">
        <v>5</v>
      </c>
      <c r="H111" s="3">
        <v>12</v>
      </c>
      <c r="I111" s="3">
        <v>21</v>
      </c>
      <c r="J111" s="3">
        <v>9</v>
      </c>
      <c r="L111" s="3">
        <f t="shared" si="11"/>
        <v>624</v>
      </c>
      <c r="N111" s="3">
        <f>244+39</f>
        <v>283</v>
      </c>
      <c r="P111" s="3">
        <v>34</v>
      </c>
    </row>
    <row r="112" spans="2:14" ht="12" customHeight="1">
      <c r="B112" s="9" t="s">
        <v>89</v>
      </c>
      <c r="C112" s="3">
        <f t="shared" si="10"/>
        <v>4</v>
      </c>
      <c r="D112" s="3">
        <v>4</v>
      </c>
      <c r="E112" s="3">
        <v>0</v>
      </c>
      <c r="H112" s="3">
        <v>1</v>
      </c>
      <c r="L112" s="3">
        <f t="shared" si="11"/>
        <v>2</v>
      </c>
      <c r="N112" s="3">
        <v>2</v>
      </c>
    </row>
    <row r="114" spans="1:16" ht="12.75">
      <c r="A114" s="9" t="s">
        <v>5</v>
      </c>
      <c r="C114" s="3">
        <f>SUM(C97:C112)</f>
        <v>4604</v>
      </c>
      <c r="D114" s="3">
        <f>SUM(D97:D112)</f>
        <v>3854</v>
      </c>
      <c r="E114" s="3">
        <f>SUM(E97:E112)</f>
        <v>750</v>
      </c>
      <c r="G114" s="3">
        <f>SUM(G97:G112)</f>
        <v>12</v>
      </c>
      <c r="H114" s="3">
        <f>SUM(H97:H112)</f>
        <v>92</v>
      </c>
      <c r="I114" s="3">
        <f>SUM(I97:I112)</f>
        <v>158</v>
      </c>
      <c r="J114" s="3">
        <f>SUM(J97:J112)</f>
        <v>81</v>
      </c>
      <c r="L114" s="3">
        <f>SUM(L97:L112)</f>
        <v>3008</v>
      </c>
      <c r="N114" s="3">
        <f>SUM(N97:N112)</f>
        <v>1596</v>
      </c>
      <c r="P114" s="3">
        <f>SUM(P97:P112)</f>
        <v>361</v>
      </c>
    </row>
    <row r="115" ht="12.75">
      <c r="A115" s="9"/>
    </row>
    <row r="116" ht="12.75">
      <c r="A116" s="9"/>
    </row>
    <row r="117" ht="12.75">
      <c r="A117" s="9"/>
    </row>
    <row r="119" spans="1:17" ht="15.75" hidden="1">
      <c r="A119" s="1" t="s">
        <v>169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1" spans="8:16" ht="12.75">
      <c r="H121" s="4" t="s">
        <v>1</v>
      </c>
      <c r="N121" s="5" t="s">
        <v>2</v>
      </c>
      <c r="P121" s="5" t="s">
        <v>3</v>
      </c>
    </row>
    <row r="122" spans="1:16" ht="12.75">
      <c r="A122" s="4" t="s">
        <v>90</v>
      </c>
      <c r="B122" s="6"/>
      <c r="C122" s="7" t="s">
        <v>5</v>
      </c>
      <c r="D122" s="7" t="s">
        <v>6</v>
      </c>
      <c r="E122" s="7" t="s">
        <v>7</v>
      </c>
      <c r="F122" s="6"/>
      <c r="G122" s="7" t="s">
        <v>8</v>
      </c>
      <c r="H122" s="7" t="s">
        <v>9</v>
      </c>
      <c r="I122" s="7" t="s">
        <v>10</v>
      </c>
      <c r="J122" s="7" t="s">
        <v>11</v>
      </c>
      <c r="K122" s="6"/>
      <c r="L122" s="8" t="s">
        <v>12</v>
      </c>
      <c r="M122" s="6"/>
      <c r="N122" s="8" t="s">
        <v>13</v>
      </c>
      <c r="O122" s="6"/>
      <c r="P122" s="8" t="s">
        <v>14</v>
      </c>
    </row>
    <row r="123" spans="2:16" ht="12" customHeight="1">
      <c r="B123" s="9" t="s">
        <v>91</v>
      </c>
      <c r="C123" s="3">
        <f aca="true" t="shared" si="12" ref="C123:C138">D123+E123</f>
        <v>14</v>
      </c>
      <c r="D123" s="3">
        <v>3</v>
      </c>
      <c r="E123" s="3">
        <v>11</v>
      </c>
      <c r="L123" s="3">
        <f aca="true" t="shared" si="13" ref="L123:L138">(C123-N123)</f>
        <v>8</v>
      </c>
      <c r="N123" s="3">
        <v>6</v>
      </c>
      <c r="P123" s="3">
        <v>5</v>
      </c>
    </row>
    <row r="124" spans="2:14" ht="12" customHeight="1">
      <c r="B124" s="9" t="s">
        <v>92</v>
      </c>
      <c r="C124" s="3">
        <f t="shared" si="12"/>
        <v>21</v>
      </c>
      <c r="D124" s="3">
        <v>1</v>
      </c>
      <c r="E124" s="3">
        <v>20</v>
      </c>
      <c r="H124" s="3">
        <v>1</v>
      </c>
      <c r="J124" s="3">
        <v>1</v>
      </c>
      <c r="L124" s="3">
        <f t="shared" si="13"/>
        <v>19</v>
      </c>
      <c r="N124" s="3">
        <v>2</v>
      </c>
    </row>
    <row r="125" spans="2:16" ht="12.75">
      <c r="B125" s="9" t="s">
        <v>93</v>
      </c>
      <c r="C125" s="3">
        <f t="shared" si="12"/>
        <v>289</v>
      </c>
      <c r="D125" s="3">
        <v>11</v>
      </c>
      <c r="E125" s="3">
        <v>278</v>
      </c>
      <c r="H125" s="3">
        <v>16</v>
      </c>
      <c r="I125" s="3">
        <v>8</v>
      </c>
      <c r="J125" s="3">
        <v>4</v>
      </c>
      <c r="L125" s="3">
        <f t="shared" si="13"/>
        <v>235</v>
      </c>
      <c r="N125" s="3">
        <f>1+53</f>
        <v>54</v>
      </c>
      <c r="P125" s="3">
        <v>4</v>
      </c>
    </row>
    <row r="126" spans="2:16" ht="12.75">
      <c r="B126" s="9" t="s">
        <v>94</v>
      </c>
      <c r="C126" s="3">
        <f t="shared" si="12"/>
        <v>255</v>
      </c>
      <c r="D126" s="3">
        <v>18</v>
      </c>
      <c r="E126" s="3">
        <v>237</v>
      </c>
      <c r="G126" s="3">
        <v>2</v>
      </c>
      <c r="H126" s="3">
        <v>13</v>
      </c>
      <c r="I126" s="3">
        <v>2</v>
      </c>
      <c r="J126" s="3">
        <v>3</v>
      </c>
      <c r="L126" s="3">
        <f t="shared" si="13"/>
        <v>229</v>
      </c>
      <c r="N126" s="3">
        <f>4+22</f>
        <v>26</v>
      </c>
      <c r="P126" s="3">
        <v>1</v>
      </c>
    </row>
    <row r="127" spans="2:16" ht="12" customHeight="1">
      <c r="B127" s="9" t="s">
        <v>95</v>
      </c>
      <c r="C127" s="3">
        <f t="shared" si="12"/>
        <v>142</v>
      </c>
      <c r="D127" s="3">
        <v>8</v>
      </c>
      <c r="E127" s="3">
        <v>134</v>
      </c>
      <c r="H127" s="3">
        <v>1</v>
      </c>
      <c r="I127" s="3">
        <v>5</v>
      </c>
      <c r="J127" s="3">
        <v>2</v>
      </c>
      <c r="L127" s="3">
        <f t="shared" si="13"/>
        <v>115</v>
      </c>
      <c r="N127" s="3">
        <f>2+25</f>
        <v>27</v>
      </c>
      <c r="P127" s="3">
        <v>5</v>
      </c>
    </row>
    <row r="128" spans="2:14" ht="12.75">
      <c r="B128" s="9" t="s">
        <v>96</v>
      </c>
      <c r="C128" s="3">
        <f t="shared" si="12"/>
        <v>83</v>
      </c>
      <c r="D128" s="3">
        <v>1</v>
      </c>
      <c r="E128" s="3">
        <v>82</v>
      </c>
      <c r="H128" s="3">
        <v>1</v>
      </c>
      <c r="L128" s="3">
        <f t="shared" si="13"/>
        <v>78</v>
      </c>
      <c r="N128" s="3">
        <v>5</v>
      </c>
    </row>
    <row r="129" spans="2:14" ht="12.75">
      <c r="B129" s="9" t="s">
        <v>97</v>
      </c>
      <c r="C129" s="3">
        <f t="shared" si="12"/>
        <v>50</v>
      </c>
      <c r="D129" s="3">
        <v>1</v>
      </c>
      <c r="E129" s="3">
        <v>49</v>
      </c>
      <c r="G129" s="3">
        <v>1</v>
      </c>
      <c r="H129" s="3">
        <v>1</v>
      </c>
      <c r="L129" s="3">
        <f t="shared" si="13"/>
        <v>48</v>
      </c>
      <c r="N129" s="3">
        <v>2</v>
      </c>
    </row>
    <row r="130" spans="2:16" ht="12" customHeight="1">
      <c r="B130" s="9" t="s">
        <v>98</v>
      </c>
      <c r="C130" s="3">
        <f t="shared" si="12"/>
        <v>19</v>
      </c>
      <c r="D130" s="3">
        <v>2</v>
      </c>
      <c r="E130" s="3">
        <v>17</v>
      </c>
      <c r="L130" s="3">
        <f t="shared" si="13"/>
        <v>18</v>
      </c>
      <c r="N130" s="3">
        <v>1</v>
      </c>
      <c r="P130" s="3">
        <v>1</v>
      </c>
    </row>
    <row r="131" spans="2:16" ht="12.75">
      <c r="B131" s="9" t="s">
        <v>99</v>
      </c>
      <c r="C131" s="3">
        <f t="shared" si="12"/>
        <v>48</v>
      </c>
      <c r="D131" s="3">
        <v>6</v>
      </c>
      <c r="E131" s="3">
        <v>42</v>
      </c>
      <c r="H131" s="3">
        <v>2</v>
      </c>
      <c r="I131" s="3">
        <v>3</v>
      </c>
      <c r="J131" s="3">
        <v>3</v>
      </c>
      <c r="L131" s="3">
        <f t="shared" si="13"/>
        <v>30</v>
      </c>
      <c r="N131" s="3">
        <f>2+16</f>
        <v>18</v>
      </c>
      <c r="P131" s="3">
        <v>10</v>
      </c>
    </row>
    <row r="132" spans="2:16" ht="12.75">
      <c r="B132" s="9" t="s">
        <v>100</v>
      </c>
      <c r="C132" s="3">
        <f t="shared" si="12"/>
        <v>3</v>
      </c>
      <c r="D132" s="3">
        <v>0</v>
      </c>
      <c r="E132" s="3">
        <v>3</v>
      </c>
      <c r="L132" s="3">
        <f t="shared" si="13"/>
        <v>2</v>
      </c>
      <c r="N132" s="3">
        <v>1</v>
      </c>
      <c r="P132" s="3">
        <v>1</v>
      </c>
    </row>
    <row r="133" spans="2:16" ht="12" customHeight="1">
      <c r="B133" s="9" t="s">
        <v>101</v>
      </c>
      <c r="C133" s="3">
        <f t="shared" si="12"/>
        <v>160</v>
      </c>
      <c r="D133" s="3">
        <v>64</v>
      </c>
      <c r="E133" s="3">
        <v>96</v>
      </c>
      <c r="G133" s="3">
        <v>1</v>
      </c>
      <c r="H133" s="3">
        <v>5</v>
      </c>
      <c r="I133" s="3">
        <v>6</v>
      </c>
      <c r="J133" s="3">
        <v>1</v>
      </c>
      <c r="L133" s="3">
        <f t="shared" si="13"/>
        <v>124</v>
      </c>
      <c r="N133" s="3">
        <f>11+25</f>
        <v>36</v>
      </c>
      <c r="P133" s="3">
        <v>12</v>
      </c>
    </row>
    <row r="134" spans="2:14" ht="12" customHeight="1">
      <c r="B134" s="9" t="s">
        <v>102</v>
      </c>
      <c r="C134" s="3">
        <f t="shared" si="12"/>
        <v>11</v>
      </c>
      <c r="D134" s="3">
        <v>1</v>
      </c>
      <c r="E134" s="3">
        <v>10</v>
      </c>
      <c r="H134" s="3">
        <v>1</v>
      </c>
      <c r="J134" s="3">
        <v>1</v>
      </c>
      <c r="L134" s="3">
        <f t="shared" si="13"/>
        <v>11</v>
      </c>
      <c r="N134" s="3">
        <v>0</v>
      </c>
    </row>
    <row r="135" spans="2:14" ht="12.75">
      <c r="B135" s="9" t="s">
        <v>103</v>
      </c>
      <c r="C135" s="3">
        <f t="shared" si="12"/>
        <v>9</v>
      </c>
      <c r="D135" s="3">
        <v>1</v>
      </c>
      <c r="E135" s="3">
        <v>8</v>
      </c>
      <c r="L135" s="3">
        <f t="shared" si="13"/>
        <v>9</v>
      </c>
      <c r="N135" s="3">
        <v>0</v>
      </c>
    </row>
    <row r="136" spans="2:16" ht="12" customHeight="1">
      <c r="B136" s="9" t="s">
        <v>104</v>
      </c>
      <c r="C136" s="3">
        <f t="shared" si="12"/>
        <v>20</v>
      </c>
      <c r="D136" s="3">
        <v>2</v>
      </c>
      <c r="E136" s="3">
        <v>18</v>
      </c>
      <c r="I136" s="3">
        <v>3</v>
      </c>
      <c r="J136" s="3">
        <v>2</v>
      </c>
      <c r="L136" s="3">
        <f t="shared" si="13"/>
        <v>10</v>
      </c>
      <c r="N136" s="3">
        <v>10</v>
      </c>
      <c r="P136" s="3">
        <v>2</v>
      </c>
    </row>
    <row r="137" spans="2:14" ht="12.75">
      <c r="B137" s="9" t="s">
        <v>105</v>
      </c>
      <c r="C137" s="3">
        <f t="shared" si="12"/>
        <v>3</v>
      </c>
      <c r="D137" s="3">
        <v>0</v>
      </c>
      <c r="E137" s="3">
        <v>3</v>
      </c>
      <c r="L137" s="3">
        <f t="shared" si="13"/>
        <v>3</v>
      </c>
      <c r="N137" s="3">
        <v>0</v>
      </c>
    </row>
    <row r="138" spans="2:16" ht="12" customHeight="1">
      <c r="B138" s="9" t="s">
        <v>106</v>
      </c>
      <c r="C138" s="3">
        <f t="shared" si="12"/>
        <v>2</v>
      </c>
      <c r="D138" s="3">
        <v>0</v>
      </c>
      <c r="E138" s="3">
        <v>2</v>
      </c>
      <c r="I138" s="3">
        <v>1</v>
      </c>
      <c r="L138" s="3">
        <f t="shared" si="13"/>
        <v>1</v>
      </c>
      <c r="N138" s="3">
        <v>1</v>
      </c>
      <c r="P138" s="3">
        <v>1</v>
      </c>
    </row>
    <row r="140" spans="1:16" ht="12.75">
      <c r="A140" s="9" t="s">
        <v>5</v>
      </c>
      <c r="C140" s="3">
        <f>SUM(C123:C138)</f>
        <v>1129</v>
      </c>
      <c r="D140" s="3">
        <f>SUM(D123:D138)</f>
        <v>119</v>
      </c>
      <c r="E140" s="3">
        <f>SUM(E123:E138)</f>
        <v>1010</v>
      </c>
      <c r="G140" s="3">
        <f>SUM(G123:G138)</f>
        <v>4</v>
      </c>
      <c r="H140" s="3">
        <f>SUM(H123:H138)</f>
        <v>41</v>
      </c>
      <c r="I140" s="3">
        <f>SUM(I123:I138)</f>
        <v>28</v>
      </c>
      <c r="J140" s="3">
        <f>SUM(J123:J138)</f>
        <v>17</v>
      </c>
      <c r="L140" s="3">
        <f>SUM(L123:L138)</f>
        <v>940</v>
      </c>
      <c r="N140" s="3">
        <f>SUM(N123:N138)</f>
        <v>189</v>
      </c>
      <c r="P140" s="3">
        <f>SUM(P123:P138)</f>
        <v>42</v>
      </c>
    </row>
    <row r="143" ht="12.75">
      <c r="A143" s="9"/>
    </row>
    <row r="144" ht="12.75">
      <c r="A144" s="10"/>
    </row>
    <row r="145" spans="1:17" ht="15.75">
      <c r="A145" s="1" t="s">
        <v>169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7" spans="8:16" ht="12.75">
      <c r="H147" s="4" t="s">
        <v>1</v>
      </c>
      <c r="N147" s="5" t="s">
        <v>2</v>
      </c>
      <c r="P147" s="5" t="s">
        <v>3</v>
      </c>
    </row>
    <row r="148" spans="1:16" ht="12.75">
      <c r="A148" s="4" t="s">
        <v>107</v>
      </c>
      <c r="B148" s="6"/>
      <c r="C148" s="7" t="s">
        <v>5</v>
      </c>
      <c r="D148" s="7" t="s">
        <v>6</v>
      </c>
      <c r="E148" s="7" t="s">
        <v>7</v>
      </c>
      <c r="F148" s="6"/>
      <c r="G148" s="7" t="s">
        <v>8</v>
      </c>
      <c r="H148" s="7" t="s">
        <v>9</v>
      </c>
      <c r="I148" s="7" t="s">
        <v>10</v>
      </c>
      <c r="J148" s="7" t="s">
        <v>11</v>
      </c>
      <c r="K148" s="6"/>
      <c r="L148" s="8" t="s">
        <v>12</v>
      </c>
      <c r="M148" s="6"/>
      <c r="N148" s="8" t="s">
        <v>13</v>
      </c>
      <c r="O148" s="6"/>
      <c r="P148" s="8" t="s">
        <v>14</v>
      </c>
    </row>
    <row r="149" spans="2:16" ht="12" customHeight="1">
      <c r="B149" s="9" t="s">
        <v>108</v>
      </c>
      <c r="C149" s="3">
        <f aca="true" t="shared" si="14" ref="C149:C182">D149+E149</f>
        <v>55</v>
      </c>
      <c r="D149" s="3">
        <v>35</v>
      </c>
      <c r="E149" s="3">
        <v>20</v>
      </c>
      <c r="H149" s="3">
        <v>1</v>
      </c>
      <c r="J149" s="3">
        <v>3</v>
      </c>
      <c r="L149" s="3">
        <f aca="true" t="shared" si="15" ref="L149:L182">(C149-N149)</f>
        <v>2</v>
      </c>
      <c r="N149" s="3">
        <f>34+19</f>
        <v>53</v>
      </c>
      <c r="P149" s="3">
        <f>30+17</f>
        <v>47</v>
      </c>
    </row>
    <row r="150" spans="2:16" ht="12" customHeight="1">
      <c r="B150" s="9" t="s">
        <v>109</v>
      </c>
      <c r="C150" s="3">
        <f t="shared" si="14"/>
        <v>236</v>
      </c>
      <c r="D150" s="3">
        <v>99</v>
      </c>
      <c r="E150" s="3">
        <v>137</v>
      </c>
      <c r="G150" s="3">
        <v>1</v>
      </c>
      <c r="H150" s="3">
        <v>4</v>
      </c>
      <c r="I150" s="3">
        <v>10</v>
      </c>
      <c r="J150" s="3">
        <v>2</v>
      </c>
      <c r="L150" s="3">
        <f t="shared" si="15"/>
        <v>188</v>
      </c>
      <c r="N150" s="3">
        <f>19+29</f>
        <v>48</v>
      </c>
      <c r="P150" s="3">
        <f>9+18</f>
        <v>27</v>
      </c>
    </row>
    <row r="151" spans="2:16" ht="12" customHeight="1">
      <c r="B151" s="9" t="s">
        <v>110</v>
      </c>
      <c r="C151" s="3">
        <f t="shared" si="14"/>
        <v>782</v>
      </c>
      <c r="D151" s="3">
        <v>376</v>
      </c>
      <c r="E151" s="3">
        <v>406</v>
      </c>
      <c r="G151" s="3">
        <v>2</v>
      </c>
      <c r="H151" s="3">
        <f>22+6</f>
        <v>28</v>
      </c>
      <c r="I151" s="3">
        <v>18</v>
      </c>
      <c r="J151" s="3">
        <v>18</v>
      </c>
      <c r="L151" s="3">
        <f t="shared" si="15"/>
        <v>639</v>
      </c>
      <c r="N151" s="3">
        <f>73+70</f>
        <v>143</v>
      </c>
      <c r="P151" s="3">
        <v>10</v>
      </c>
    </row>
    <row r="152" spans="2:16" ht="12" customHeight="1">
      <c r="B152" s="9" t="s">
        <v>111</v>
      </c>
      <c r="C152" s="3">
        <f t="shared" si="14"/>
        <v>83</v>
      </c>
      <c r="D152" s="3">
        <v>23</v>
      </c>
      <c r="E152" s="3">
        <v>60</v>
      </c>
      <c r="H152" s="3">
        <v>1</v>
      </c>
      <c r="I152" s="3">
        <v>2</v>
      </c>
      <c r="J152" s="3">
        <v>1</v>
      </c>
      <c r="L152" s="3">
        <f t="shared" si="15"/>
        <v>58</v>
      </c>
      <c r="N152" s="3">
        <f>10+15</f>
        <v>25</v>
      </c>
      <c r="P152" s="3">
        <v>2</v>
      </c>
    </row>
    <row r="153" spans="2:14" ht="12" customHeight="1">
      <c r="B153" s="9" t="s">
        <v>112</v>
      </c>
      <c r="C153" s="3">
        <f t="shared" si="14"/>
        <v>90</v>
      </c>
      <c r="D153" s="3">
        <v>24</v>
      </c>
      <c r="E153" s="3">
        <v>66</v>
      </c>
      <c r="H153" s="3">
        <v>3</v>
      </c>
      <c r="I153" s="3">
        <v>2</v>
      </c>
      <c r="J153" s="3">
        <v>2</v>
      </c>
      <c r="L153" s="3">
        <f t="shared" si="15"/>
        <v>74</v>
      </c>
      <c r="N153" s="3">
        <f>4+12</f>
        <v>16</v>
      </c>
    </row>
    <row r="154" spans="2:14" ht="12" customHeight="1">
      <c r="B154" s="9" t="s">
        <v>167</v>
      </c>
      <c r="C154" s="3">
        <f>D154+E154</f>
        <v>0</v>
      </c>
      <c r="D154" s="3">
        <v>0</v>
      </c>
      <c r="E154" s="3">
        <v>0</v>
      </c>
      <c r="L154" s="3">
        <f>(C154-N154)</f>
        <v>0</v>
      </c>
      <c r="N154" s="3">
        <v>0</v>
      </c>
    </row>
    <row r="155" spans="2:16" ht="12" customHeight="1">
      <c r="B155" s="9" t="s">
        <v>113</v>
      </c>
      <c r="C155" s="3">
        <f t="shared" si="14"/>
        <v>71</v>
      </c>
      <c r="D155" s="3">
        <v>29</v>
      </c>
      <c r="E155" s="3">
        <v>42</v>
      </c>
      <c r="H155" s="3">
        <v>4</v>
      </c>
      <c r="I155" s="3">
        <v>6</v>
      </c>
      <c r="J155" s="3">
        <v>1</v>
      </c>
      <c r="L155" s="3">
        <f t="shared" si="15"/>
        <v>49</v>
      </c>
      <c r="N155" s="3">
        <f>10+12</f>
        <v>22</v>
      </c>
      <c r="P155" s="3">
        <v>5</v>
      </c>
    </row>
    <row r="156" spans="2:14" ht="12" customHeight="1">
      <c r="B156" s="9" t="s">
        <v>114</v>
      </c>
      <c r="C156" s="3">
        <f t="shared" si="14"/>
        <v>15</v>
      </c>
      <c r="D156" s="3">
        <v>6</v>
      </c>
      <c r="E156" s="3">
        <v>9</v>
      </c>
      <c r="I156" s="3">
        <v>1</v>
      </c>
      <c r="L156" s="3">
        <f t="shared" si="15"/>
        <v>10</v>
      </c>
      <c r="N156" s="3">
        <v>5</v>
      </c>
    </row>
    <row r="157" spans="2:16" ht="12" customHeight="1">
      <c r="B157" s="9" t="s">
        <v>115</v>
      </c>
      <c r="C157" s="3">
        <f t="shared" si="14"/>
        <v>452</v>
      </c>
      <c r="D157" s="3">
        <v>153</v>
      </c>
      <c r="E157" s="3">
        <v>299</v>
      </c>
      <c r="G157" s="3">
        <v>2</v>
      </c>
      <c r="H157" s="3">
        <v>17</v>
      </c>
      <c r="I157" s="3">
        <v>18</v>
      </c>
      <c r="J157" s="3">
        <v>6</v>
      </c>
      <c r="L157" s="3">
        <f t="shared" si="15"/>
        <v>348</v>
      </c>
      <c r="N157" s="3">
        <f>31+73</f>
        <v>104</v>
      </c>
      <c r="P157" s="3">
        <v>5</v>
      </c>
    </row>
    <row r="158" spans="2:16" ht="12" customHeight="1">
      <c r="B158" s="9" t="s">
        <v>116</v>
      </c>
      <c r="C158" s="3">
        <f t="shared" si="14"/>
        <v>2</v>
      </c>
      <c r="D158" s="3">
        <v>1</v>
      </c>
      <c r="E158" s="3">
        <v>1</v>
      </c>
      <c r="L158" s="3">
        <f t="shared" si="15"/>
        <v>0</v>
      </c>
      <c r="N158" s="3">
        <v>2</v>
      </c>
      <c r="P158" s="3">
        <v>1</v>
      </c>
    </row>
    <row r="159" spans="2:14" ht="12" customHeight="1">
      <c r="B159" s="9" t="s">
        <v>117</v>
      </c>
      <c r="C159" s="3">
        <f t="shared" si="14"/>
        <v>24</v>
      </c>
      <c r="D159" s="3">
        <v>10</v>
      </c>
      <c r="E159" s="3">
        <v>14</v>
      </c>
      <c r="L159" s="3">
        <f t="shared" si="15"/>
        <v>21</v>
      </c>
      <c r="N159" s="3">
        <v>3</v>
      </c>
    </row>
    <row r="160" spans="2:16" ht="12" customHeight="1">
      <c r="B160" s="9" t="s">
        <v>118</v>
      </c>
      <c r="C160" s="3">
        <f t="shared" si="14"/>
        <v>72</v>
      </c>
      <c r="D160" s="3">
        <v>39</v>
      </c>
      <c r="E160" s="3">
        <v>33</v>
      </c>
      <c r="G160" s="3">
        <v>2</v>
      </c>
      <c r="H160" s="3">
        <v>1</v>
      </c>
      <c r="I160" s="3">
        <v>2</v>
      </c>
      <c r="J160" s="3">
        <v>1</v>
      </c>
      <c r="L160" s="3">
        <f t="shared" si="15"/>
        <v>53</v>
      </c>
      <c r="N160" s="3">
        <f>12+7</f>
        <v>19</v>
      </c>
      <c r="P160" s="3">
        <v>2</v>
      </c>
    </row>
    <row r="161" spans="2:14" ht="12" customHeight="1">
      <c r="B161" s="9" t="s">
        <v>172</v>
      </c>
      <c r="C161" s="3">
        <f t="shared" si="14"/>
        <v>104</v>
      </c>
      <c r="D161" s="3">
        <v>17</v>
      </c>
      <c r="E161" s="3">
        <v>87</v>
      </c>
      <c r="H161" s="3">
        <v>3</v>
      </c>
      <c r="I161" s="3">
        <v>1</v>
      </c>
      <c r="J161" s="3">
        <v>1</v>
      </c>
      <c r="L161" s="3">
        <f t="shared" si="15"/>
        <v>92</v>
      </c>
      <c r="N161" s="3">
        <v>12</v>
      </c>
    </row>
    <row r="162" spans="2:16" ht="12" customHeight="1">
      <c r="B162" s="9" t="s">
        <v>119</v>
      </c>
      <c r="C162" s="3">
        <f t="shared" si="14"/>
        <v>363</v>
      </c>
      <c r="D162" s="3">
        <v>309</v>
      </c>
      <c r="E162" s="3">
        <v>54</v>
      </c>
      <c r="H162" s="3">
        <v>3</v>
      </c>
      <c r="I162" s="3">
        <v>16</v>
      </c>
      <c r="J162" s="3">
        <v>6</v>
      </c>
      <c r="L162" s="3">
        <f t="shared" si="15"/>
        <v>240</v>
      </c>
      <c r="N162" s="3">
        <f>85+38</f>
        <v>123</v>
      </c>
      <c r="P162" s="3">
        <f>50+32</f>
        <v>82</v>
      </c>
    </row>
    <row r="163" spans="2:14" ht="12" customHeight="1">
      <c r="B163" s="9" t="s">
        <v>120</v>
      </c>
      <c r="C163" s="3">
        <f t="shared" si="14"/>
        <v>7</v>
      </c>
      <c r="D163" s="3">
        <v>3</v>
      </c>
      <c r="E163" s="3">
        <v>4</v>
      </c>
      <c r="L163" s="3">
        <f t="shared" si="15"/>
        <v>7</v>
      </c>
      <c r="N163" s="3">
        <v>0</v>
      </c>
    </row>
    <row r="164" spans="2:16" ht="12" customHeight="1">
      <c r="B164" s="9" t="s">
        <v>121</v>
      </c>
      <c r="C164" s="3">
        <f t="shared" si="14"/>
        <v>40</v>
      </c>
      <c r="D164" s="3">
        <v>32</v>
      </c>
      <c r="E164" s="3">
        <v>8</v>
      </c>
      <c r="H164" s="3">
        <v>3</v>
      </c>
      <c r="I164" s="3">
        <v>1</v>
      </c>
      <c r="J164" s="3">
        <v>1</v>
      </c>
      <c r="L164" s="3">
        <f t="shared" si="15"/>
        <v>21</v>
      </c>
      <c r="N164" s="3">
        <f>13+6</f>
        <v>19</v>
      </c>
      <c r="P164" s="3">
        <v>6</v>
      </c>
    </row>
    <row r="165" spans="2:16" ht="12" customHeight="1">
      <c r="B165" s="9" t="s">
        <v>122</v>
      </c>
      <c r="C165" s="3">
        <f t="shared" si="14"/>
        <v>283</v>
      </c>
      <c r="D165" s="3">
        <v>80</v>
      </c>
      <c r="E165" s="3">
        <v>203</v>
      </c>
      <c r="G165" s="3">
        <v>1</v>
      </c>
      <c r="H165" s="3">
        <v>12</v>
      </c>
      <c r="I165" s="3">
        <v>3</v>
      </c>
      <c r="J165" s="3">
        <v>2</v>
      </c>
      <c r="L165" s="3">
        <f t="shared" si="15"/>
        <v>247</v>
      </c>
      <c r="N165" s="3">
        <f>16+20</f>
        <v>36</v>
      </c>
      <c r="P165" s="3">
        <v>1</v>
      </c>
    </row>
    <row r="166" spans="2:14" ht="12" customHeight="1">
      <c r="B166" s="9" t="s">
        <v>123</v>
      </c>
      <c r="C166" s="3">
        <f t="shared" si="14"/>
        <v>30</v>
      </c>
      <c r="D166" s="3">
        <v>16</v>
      </c>
      <c r="E166" s="3">
        <v>14</v>
      </c>
      <c r="I166" s="3">
        <v>1</v>
      </c>
      <c r="L166" s="3">
        <f t="shared" si="15"/>
        <v>24</v>
      </c>
      <c r="N166" s="3">
        <v>6</v>
      </c>
    </row>
    <row r="167" spans="2:16" ht="12" customHeight="1">
      <c r="B167" s="9" t="s">
        <v>124</v>
      </c>
      <c r="C167" s="3">
        <f t="shared" si="14"/>
        <v>12</v>
      </c>
      <c r="D167" s="3">
        <v>4</v>
      </c>
      <c r="E167" s="3">
        <v>8</v>
      </c>
      <c r="H167" s="3">
        <v>1</v>
      </c>
      <c r="I167" s="3">
        <v>1</v>
      </c>
      <c r="L167" s="3">
        <f t="shared" si="15"/>
        <v>8</v>
      </c>
      <c r="N167" s="3">
        <v>4</v>
      </c>
      <c r="P167" s="3">
        <v>1</v>
      </c>
    </row>
    <row r="168" spans="2:16" ht="12" customHeight="1">
      <c r="B168" s="9" t="s">
        <v>125</v>
      </c>
      <c r="C168" s="3">
        <f t="shared" si="14"/>
        <v>74</v>
      </c>
      <c r="D168" s="3">
        <v>23</v>
      </c>
      <c r="E168" s="3">
        <v>51</v>
      </c>
      <c r="H168" s="3">
        <v>3</v>
      </c>
      <c r="I168" s="3">
        <v>3</v>
      </c>
      <c r="J168" s="3">
        <v>1</v>
      </c>
      <c r="L168" s="3">
        <f t="shared" si="15"/>
        <v>44</v>
      </c>
      <c r="N168" s="3">
        <f>11+19</f>
        <v>30</v>
      </c>
      <c r="P168" s="3">
        <v>4</v>
      </c>
    </row>
    <row r="169" spans="2:16" ht="12" customHeight="1">
      <c r="B169" s="9" t="s">
        <v>126</v>
      </c>
      <c r="C169" s="3">
        <f t="shared" si="14"/>
        <v>30</v>
      </c>
      <c r="D169" s="3">
        <v>15</v>
      </c>
      <c r="E169" s="3">
        <v>15</v>
      </c>
      <c r="I169" s="3">
        <v>1</v>
      </c>
      <c r="J169" s="3">
        <v>2</v>
      </c>
      <c r="L169" s="3">
        <f t="shared" si="15"/>
        <v>21</v>
      </c>
      <c r="N169" s="3">
        <v>9</v>
      </c>
      <c r="P169" s="3">
        <v>1</v>
      </c>
    </row>
    <row r="170" spans="2:16" ht="12" customHeight="1">
      <c r="B170" s="9" t="s">
        <v>127</v>
      </c>
      <c r="C170" s="3">
        <f t="shared" si="14"/>
        <v>144</v>
      </c>
      <c r="D170" s="3">
        <v>66</v>
      </c>
      <c r="E170" s="3">
        <v>78</v>
      </c>
      <c r="H170" s="3">
        <v>3</v>
      </c>
      <c r="I170" s="3">
        <v>2</v>
      </c>
      <c r="J170" s="3">
        <v>4</v>
      </c>
      <c r="L170" s="3">
        <f t="shared" si="15"/>
        <v>120</v>
      </c>
      <c r="N170" s="3">
        <f>11+13</f>
        <v>24</v>
      </c>
      <c r="P170" s="3">
        <v>3</v>
      </c>
    </row>
    <row r="171" spans="2:16" ht="12" customHeight="1">
      <c r="B171" s="9" t="s">
        <v>128</v>
      </c>
      <c r="C171" s="3">
        <f t="shared" si="14"/>
        <v>8</v>
      </c>
      <c r="D171" s="3">
        <v>5</v>
      </c>
      <c r="E171" s="3">
        <v>3</v>
      </c>
      <c r="L171" s="3">
        <f t="shared" si="15"/>
        <v>5</v>
      </c>
      <c r="N171" s="3">
        <v>3</v>
      </c>
      <c r="P171" s="3">
        <v>1</v>
      </c>
    </row>
    <row r="172" spans="2:16" ht="12" customHeight="1">
      <c r="B172" s="9" t="s">
        <v>129</v>
      </c>
      <c r="C172" s="3">
        <f t="shared" si="14"/>
        <v>240</v>
      </c>
      <c r="D172" s="3">
        <v>161</v>
      </c>
      <c r="E172" s="3">
        <v>79</v>
      </c>
      <c r="H172" s="3">
        <v>7</v>
      </c>
      <c r="I172" s="3">
        <v>1</v>
      </c>
      <c r="J172" s="3">
        <v>4</v>
      </c>
      <c r="L172" s="3">
        <f t="shared" si="15"/>
        <v>212</v>
      </c>
      <c r="N172" s="3">
        <f>21+7</f>
        <v>28</v>
      </c>
      <c r="P172" s="3">
        <v>1</v>
      </c>
    </row>
    <row r="173" spans="2:14" ht="12.75">
      <c r="B173" s="9" t="s">
        <v>130</v>
      </c>
      <c r="C173" s="3">
        <f t="shared" si="14"/>
        <v>2</v>
      </c>
      <c r="D173" s="3">
        <v>1</v>
      </c>
      <c r="E173" s="3">
        <v>1</v>
      </c>
      <c r="L173" s="3">
        <f t="shared" si="15"/>
        <v>2</v>
      </c>
      <c r="N173" s="3">
        <v>0</v>
      </c>
    </row>
    <row r="174" spans="2:16" ht="12" customHeight="1">
      <c r="B174" s="9" t="s">
        <v>131</v>
      </c>
      <c r="C174" s="3">
        <f t="shared" si="14"/>
        <v>209</v>
      </c>
      <c r="D174" s="3">
        <v>65</v>
      </c>
      <c r="E174" s="3">
        <v>144</v>
      </c>
      <c r="H174" s="3">
        <v>4</v>
      </c>
      <c r="I174" s="3">
        <v>3</v>
      </c>
      <c r="J174" s="3">
        <v>1</v>
      </c>
      <c r="L174" s="3">
        <f t="shared" si="15"/>
        <v>180</v>
      </c>
      <c r="N174" s="3">
        <f>8+21</f>
        <v>29</v>
      </c>
      <c r="P174" s="3">
        <v>4</v>
      </c>
    </row>
    <row r="175" spans="2:16" ht="12" customHeight="1">
      <c r="B175" s="9" t="s">
        <v>132</v>
      </c>
      <c r="C175" s="3">
        <f t="shared" si="14"/>
        <v>138</v>
      </c>
      <c r="D175" s="3">
        <v>46</v>
      </c>
      <c r="E175" s="3">
        <v>92</v>
      </c>
      <c r="G175" s="3">
        <v>2</v>
      </c>
      <c r="H175" s="3">
        <v>5</v>
      </c>
      <c r="L175" s="3">
        <f t="shared" si="15"/>
        <v>121</v>
      </c>
      <c r="N175" s="3">
        <f>9+8</f>
        <v>17</v>
      </c>
      <c r="P175" s="3">
        <v>1</v>
      </c>
    </row>
    <row r="176" spans="2:16" ht="12" customHeight="1">
      <c r="B176" s="9" t="s">
        <v>133</v>
      </c>
      <c r="C176" s="3">
        <f t="shared" si="14"/>
        <v>11</v>
      </c>
      <c r="D176" s="3">
        <v>2</v>
      </c>
      <c r="E176" s="3">
        <v>9</v>
      </c>
      <c r="J176" s="3">
        <v>1</v>
      </c>
      <c r="L176" s="3">
        <f t="shared" si="15"/>
        <v>9</v>
      </c>
      <c r="N176" s="3">
        <v>2</v>
      </c>
      <c r="P176" s="3">
        <v>1</v>
      </c>
    </row>
    <row r="177" spans="2:16" ht="12" customHeight="1">
      <c r="B177" s="9" t="s">
        <v>134</v>
      </c>
      <c r="C177" s="3">
        <f t="shared" si="14"/>
        <v>111</v>
      </c>
      <c r="D177" s="3">
        <v>65</v>
      </c>
      <c r="E177" s="3">
        <v>46</v>
      </c>
      <c r="H177" s="3">
        <v>3</v>
      </c>
      <c r="I177" s="3">
        <v>2</v>
      </c>
      <c r="J177" s="3">
        <v>8</v>
      </c>
      <c r="L177" s="3">
        <f t="shared" si="15"/>
        <v>85</v>
      </c>
      <c r="N177" s="3">
        <f>13+13</f>
        <v>26</v>
      </c>
      <c r="P177" s="3">
        <v>3</v>
      </c>
    </row>
    <row r="178" spans="2:14" ht="12" customHeight="1">
      <c r="B178" s="9" t="s">
        <v>135</v>
      </c>
      <c r="C178" s="3">
        <f t="shared" si="14"/>
        <v>108</v>
      </c>
      <c r="D178" s="3">
        <v>75</v>
      </c>
      <c r="E178" s="3">
        <v>33</v>
      </c>
      <c r="H178" s="3">
        <v>4</v>
      </c>
      <c r="I178" s="3">
        <v>1</v>
      </c>
      <c r="J178" s="3">
        <v>4</v>
      </c>
      <c r="L178" s="3">
        <f t="shared" si="15"/>
        <v>68</v>
      </c>
      <c r="N178" s="3">
        <f>21+19</f>
        <v>40</v>
      </c>
    </row>
    <row r="179" spans="2:16" ht="12" customHeight="1">
      <c r="B179" s="9" t="s">
        <v>136</v>
      </c>
      <c r="C179" s="3">
        <f t="shared" si="14"/>
        <v>64</v>
      </c>
      <c r="D179" s="3">
        <v>24</v>
      </c>
      <c r="E179" s="3">
        <v>40</v>
      </c>
      <c r="I179" s="3">
        <v>1</v>
      </c>
      <c r="L179" s="3">
        <f t="shared" si="15"/>
        <v>61</v>
      </c>
      <c r="N179" s="3">
        <v>3</v>
      </c>
      <c r="P179" s="3">
        <v>1</v>
      </c>
    </row>
    <row r="180" spans="2:14" ht="12" customHeight="1">
      <c r="B180" s="9" t="s">
        <v>137</v>
      </c>
      <c r="C180" s="3">
        <f t="shared" si="14"/>
        <v>15</v>
      </c>
      <c r="D180" s="3">
        <v>7</v>
      </c>
      <c r="E180" s="3">
        <v>8</v>
      </c>
      <c r="L180" s="3">
        <f t="shared" si="15"/>
        <v>14</v>
      </c>
      <c r="N180" s="3">
        <v>1</v>
      </c>
    </row>
    <row r="181" spans="2:14" ht="12" customHeight="1">
      <c r="B181" s="9" t="s">
        <v>138</v>
      </c>
      <c r="C181" s="3">
        <f t="shared" si="14"/>
        <v>50</v>
      </c>
      <c r="D181" s="3">
        <v>23</v>
      </c>
      <c r="E181" s="3">
        <v>27</v>
      </c>
      <c r="G181" s="3">
        <v>2</v>
      </c>
      <c r="H181" s="3">
        <v>4</v>
      </c>
      <c r="L181" s="3">
        <f t="shared" si="15"/>
        <v>39</v>
      </c>
      <c r="N181" s="3">
        <v>11</v>
      </c>
    </row>
    <row r="182" spans="2:14" ht="12" customHeight="1">
      <c r="B182" s="9" t="s">
        <v>139</v>
      </c>
      <c r="C182" s="3">
        <f t="shared" si="14"/>
        <v>25</v>
      </c>
      <c r="D182" s="3">
        <v>20</v>
      </c>
      <c r="E182" s="3">
        <v>5</v>
      </c>
      <c r="J182" s="3">
        <v>2</v>
      </c>
      <c r="L182" s="3">
        <f t="shared" si="15"/>
        <v>23</v>
      </c>
      <c r="N182" s="3">
        <v>2</v>
      </c>
    </row>
    <row r="183" spans="2:16" ht="12" customHeight="1">
      <c r="B183" s="9" t="s">
        <v>140</v>
      </c>
      <c r="C183" s="3">
        <f aca="true" t="shared" si="16" ref="C183:C201">D183+E183</f>
        <v>56</v>
      </c>
      <c r="D183" s="3">
        <v>45</v>
      </c>
      <c r="E183" s="3">
        <v>11</v>
      </c>
      <c r="J183" s="3">
        <v>1</v>
      </c>
      <c r="L183" s="3">
        <f aca="true" t="shared" si="17" ref="L183:L201">(C183-N183)</f>
        <v>33</v>
      </c>
      <c r="N183" s="3">
        <f>16+7</f>
        <v>23</v>
      </c>
      <c r="P183" s="3">
        <v>3</v>
      </c>
    </row>
    <row r="184" spans="2:16" ht="12" customHeight="1">
      <c r="B184" s="9" t="s">
        <v>141</v>
      </c>
      <c r="C184" s="3">
        <f t="shared" si="16"/>
        <v>216</v>
      </c>
      <c r="D184" s="3">
        <v>113</v>
      </c>
      <c r="E184" s="3">
        <v>103</v>
      </c>
      <c r="H184" s="3">
        <v>13</v>
      </c>
      <c r="I184" s="3">
        <v>6</v>
      </c>
      <c r="J184" s="3">
        <v>8</v>
      </c>
      <c r="L184" s="3">
        <f t="shared" si="17"/>
        <v>162</v>
      </c>
      <c r="N184" s="3">
        <f>30+24</f>
        <v>54</v>
      </c>
      <c r="P184" s="3">
        <v>1</v>
      </c>
    </row>
    <row r="185" spans="2:16" ht="12.75">
      <c r="B185" s="9" t="s">
        <v>142</v>
      </c>
      <c r="C185" s="3">
        <f t="shared" si="16"/>
        <v>118</v>
      </c>
      <c r="D185" s="3">
        <v>32</v>
      </c>
      <c r="E185" s="3">
        <v>86</v>
      </c>
      <c r="H185" s="3">
        <v>1</v>
      </c>
      <c r="I185" s="3">
        <v>4</v>
      </c>
      <c r="J185" s="3">
        <v>4</v>
      </c>
      <c r="L185" s="3">
        <f t="shared" si="17"/>
        <v>92</v>
      </c>
      <c r="N185" s="3">
        <f>8+18</f>
        <v>26</v>
      </c>
      <c r="P185" s="3">
        <v>3</v>
      </c>
    </row>
    <row r="186" spans="2:16" ht="12.75">
      <c r="B186" s="9" t="s">
        <v>143</v>
      </c>
      <c r="C186" s="3">
        <f t="shared" si="16"/>
        <v>34</v>
      </c>
      <c r="D186" s="3">
        <v>11</v>
      </c>
      <c r="E186" s="3">
        <v>23</v>
      </c>
      <c r="I186" s="3">
        <v>3</v>
      </c>
      <c r="J186" s="3">
        <v>1</v>
      </c>
      <c r="L186" s="3">
        <f t="shared" si="17"/>
        <v>27</v>
      </c>
      <c r="N186" s="3">
        <v>7</v>
      </c>
      <c r="P186" s="3">
        <v>1</v>
      </c>
    </row>
    <row r="187" spans="2:16" ht="12.75">
      <c r="B187" s="9" t="s">
        <v>174</v>
      </c>
      <c r="C187" s="3">
        <f t="shared" si="16"/>
        <v>362</v>
      </c>
      <c r="D187" s="3">
        <v>312</v>
      </c>
      <c r="E187" s="3">
        <v>50</v>
      </c>
      <c r="G187" s="3">
        <v>3</v>
      </c>
      <c r="H187" s="3">
        <v>10</v>
      </c>
      <c r="I187" s="3">
        <v>19</v>
      </c>
      <c r="J187" s="3">
        <v>5</v>
      </c>
      <c r="L187" s="3">
        <f t="shared" si="17"/>
        <v>239</v>
      </c>
      <c r="N187" s="3">
        <f>97+26</f>
        <v>123</v>
      </c>
      <c r="P187" s="3">
        <f>52+18</f>
        <v>70</v>
      </c>
    </row>
    <row r="188" spans="2:16" ht="12.75">
      <c r="B188" s="9" t="s">
        <v>144</v>
      </c>
      <c r="C188" s="3">
        <f t="shared" si="16"/>
        <v>327</v>
      </c>
      <c r="D188" s="3">
        <v>124</v>
      </c>
      <c r="E188" s="3">
        <v>203</v>
      </c>
      <c r="G188" s="3">
        <v>6</v>
      </c>
      <c r="H188" s="3">
        <v>12</v>
      </c>
      <c r="I188" s="3">
        <v>6</v>
      </c>
      <c r="J188" s="3">
        <v>7</v>
      </c>
      <c r="L188" s="3">
        <f t="shared" si="17"/>
        <v>262</v>
      </c>
      <c r="N188" s="3">
        <f>27+38</f>
        <v>65</v>
      </c>
      <c r="P188" s="3">
        <v>5</v>
      </c>
    </row>
    <row r="189" spans="2:16" ht="12" customHeight="1">
      <c r="B189" s="9" t="s">
        <v>145</v>
      </c>
      <c r="C189" s="3">
        <f t="shared" si="16"/>
        <v>82</v>
      </c>
      <c r="D189" s="3">
        <v>31</v>
      </c>
      <c r="E189" s="3">
        <v>51</v>
      </c>
      <c r="H189" s="3">
        <v>6</v>
      </c>
      <c r="I189" s="3">
        <v>1</v>
      </c>
      <c r="J189" s="3">
        <v>3</v>
      </c>
      <c r="L189" s="3">
        <f t="shared" si="17"/>
        <v>62</v>
      </c>
      <c r="N189" s="3">
        <v>20</v>
      </c>
      <c r="P189" s="3">
        <v>2</v>
      </c>
    </row>
    <row r="190" spans="2:16" ht="12" customHeight="1">
      <c r="B190" s="9" t="s">
        <v>146</v>
      </c>
      <c r="C190" s="3">
        <f t="shared" si="16"/>
        <v>23</v>
      </c>
      <c r="D190" s="3">
        <v>11</v>
      </c>
      <c r="E190" s="3">
        <v>12</v>
      </c>
      <c r="I190" s="3">
        <v>1</v>
      </c>
      <c r="L190" s="3">
        <f t="shared" si="17"/>
        <v>21</v>
      </c>
      <c r="N190" s="3">
        <v>2</v>
      </c>
      <c r="P190" s="3">
        <v>1</v>
      </c>
    </row>
    <row r="191" spans="2:16" ht="12" customHeight="1">
      <c r="B191" s="9" t="s">
        <v>147</v>
      </c>
      <c r="C191" s="3">
        <f t="shared" si="16"/>
        <v>97</v>
      </c>
      <c r="D191" s="3">
        <v>29</v>
      </c>
      <c r="E191" s="3">
        <v>68</v>
      </c>
      <c r="H191" s="3">
        <v>2</v>
      </c>
      <c r="I191" s="3">
        <v>3</v>
      </c>
      <c r="J191" s="3">
        <v>2</v>
      </c>
      <c r="L191" s="3">
        <f t="shared" si="17"/>
        <v>80</v>
      </c>
      <c r="N191" s="3">
        <v>17</v>
      </c>
      <c r="P191" s="3">
        <v>1</v>
      </c>
    </row>
    <row r="192" spans="2:16" ht="12" customHeight="1">
      <c r="B192" s="9" t="s">
        <v>148</v>
      </c>
      <c r="C192" s="3">
        <f t="shared" si="16"/>
        <v>580</v>
      </c>
      <c r="D192" s="3">
        <v>159</v>
      </c>
      <c r="E192" s="3">
        <v>421</v>
      </c>
      <c r="G192" s="3">
        <v>2</v>
      </c>
      <c r="H192" s="3">
        <f>8+19</f>
        <v>27</v>
      </c>
      <c r="I192" s="3">
        <v>2</v>
      </c>
      <c r="J192" s="3">
        <v>15</v>
      </c>
      <c r="L192" s="3">
        <f t="shared" si="17"/>
        <v>491</v>
      </c>
      <c r="N192" s="3">
        <f>22+67</f>
        <v>89</v>
      </c>
      <c r="P192" s="3">
        <v>7</v>
      </c>
    </row>
    <row r="193" spans="2:14" ht="12" customHeight="1">
      <c r="B193" s="9" t="s">
        <v>149</v>
      </c>
      <c r="C193" s="3">
        <f t="shared" si="16"/>
        <v>12</v>
      </c>
      <c r="D193" s="3">
        <v>7</v>
      </c>
      <c r="E193" s="3">
        <v>5</v>
      </c>
      <c r="H193" s="3">
        <v>1</v>
      </c>
      <c r="L193" s="3">
        <f t="shared" si="17"/>
        <v>11</v>
      </c>
      <c r="N193" s="3">
        <v>1</v>
      </c>
    </row>
    <row r="194" spans="2:14" ht="12" customHeight="1">
      <c r="B194" s="9" t="s">
        <v>150</v>
      </c>
      <c r="C194" s="3">
        <f t="shared" si="16"/>
        <v>6</v>
      </c>
      <c r="D194" s="3">
        <v>2</v>
      </c>
      <c r="E194" s="3">
        <v>4</v>
      </c>
      <c r="L194" s="3">
        <f t="shared" si="17"/>
        <v>4</v>
      </c>
      <c r="N194" s="3">
        <v>2</v>
      </c>
    </row>
    <row r="195" spans="2:14" ht="12" customHeight="1">
      <c r="B195" s="9" t="s">
        <v>173</v>
      </c>
      <c r="C195" s="3">
        <f t="shared" si="16"/>
        <v>3</v>
      </c>
      <c r="D195" s="3">
        <v>1</v>
      </c>
      <c r="E195" s="3">
        <v>2</v>
      </c>
      <c r="L195" s="3">
        <f t="shared" si="17"/>
        <v>3</v>
      </c>
      <c r="N195" s="3">
        <v>0</v>
      </c>
    </row>
    <row r="196" spans="2:16" ht="12" customHeight="1">
      <c r="B196" s="9" t="s">
        <v>151</v>
      </c>
      <c r="C196" s="3">
        <f t="shared" si="16"/>
        <v>254</v>
      </c>
      <c r="D196" s="3">
        <v>118</v>
      </c>
      <c r="E196" s="3">
        <v>136</v>
      </c>
      <c r="G196" s="3">
        <v>1</v>
      </c>
      <c r="H196" s="3">
        <f>21+4</f>
        <v>25</v>
      </c>
      <c r="I196" s="3">
        <v>4</v>
      </c>
      <c r="J196" s="3">
        <v>7</v>
      </c>
      <c r="L196" s="3">
        <f t="shared" si="17"/>
        <v>202</v>
      </c>
      <c r="N196" s="3">
        <f>34+18</f>
        <v>52</v>
      </c>
      <c r="P196" s="3">
        <v>1</v>
      </c>
    </row>
    <row r="197" spans="2:14" ht="12" customHeight="1">
      <c r="B197" s="9" t="s">
        <v>152</v>
      </c>
      <c r="C197" s="3">
        <f t="shared" si="16"/>
        <v>74</v>
      </c>
      <c r="D197" s="3">
        <v>17</v>
      </c>
      <c r="E197" s="3">
        <v>57</v>
      </c>
      <c r="H197" s="3">
        <v>2</v>
      </c>
      <c r="I197" s="3">
        <v>1</v>
      </c>
      <c r="J197" s="3">
        <v>5</v>
      </c>
      <c r="L197" s="3">
        <f t="shared" si="17"/>
        <v>65</v>
      </c>
      <c r="N197" s="3">
        <v>9</v>
      </c>
    </row>
    <row r="198" spans="2:14" ht="12" customHeight="1">
      <c r="B198" s="9" t="s">
        <v>153</v>
      </c>
      <c r="C198" s="3">
        <f t="shared" si="16"/>
        <v>48</v>
      </c>
      <c r="D198" s="3">
        <v>10</v>
      </c>
      <c r="E198" s="3">
        <v>38</v>
      </c>
      <c r="G198" s="3">
        <v>1</v>
      </c>
      <c r="H198" s="3">
        <v>2</v>
      </c>
      <c r="L198" s="3">
        <f t="shared" si="17"/>
        <v>37</v>
      </c>
      <c r="N198" s="3">
        <v>11</v>
      </c>
    </row>
    <row r="199" spans="2:16" ht="12" customHeight="1">
      <c r="B199" s="9" t="s">
        <v>154</v>
      </c>
      <c r="C199" s="3">
        <f t="shared" si="16"/>
        <v>17</v>
      </c>
      <c r="D199" s="3">
        <v>10</v>
      </c>
      <c r="E199" s="3">
        <v>7</v>
      </c>
      <c r="H199" s="3">
        <v>3</v>
      </c>
      <c r="I199" s="3">
        <v>3</v>
      </c>
      <c r="L199" s="3">
        <f t="shared" si="17"/>
        <v>9</v>
      </c>
      <c r="N199" s="3">
        <v>8</v>
      </c>
      <c r="P199" s="3">
        <v>1</v>
      </c>
    </row>
    <row r="200" spans="2:14" ht="12" customHeight="1">
      <c r="B200" s="9" t="s">
        <v>155</v>
      </c>
      <c r="C200" s="3">
        <f t="shared" si="16"/>
        <v>4</v>
      </c>
      <c r="D200" s="3">
        <v>0</v>
      </c>
      <c r="E200" s="3">
        <v>4</v>
      </c>
      <c r="J200" s="3">
        <v>1</v>
      </c>
      <c r="L200" s="3">
        <f t="shared" si="17"/>
        <v>4</v>
      </c>
      <c r="N200" s="3">
        <v>0</v>
      </c>
    </row>
    <row r="201" spans="2:14" ht="12" customHeight="1">
      <c r="B201" s="9" t="s">
        <v>156</v>
      </c>
      <c r="C201" s="3">
        <f t="shared" si="16"/>
        <v>88</v>
      </c>
      <c r="D201" s="3">
        <v>23</v>
      </c>
      <c r="E201" s="3">
        <v>65</v>
      </c>
      <c r="H201" s="3">
        <v>2</v>
      </c>
      <c r="J201" s="3">
        <v>2</v>
      </c>
      <c r="L201" s="3">
        <f t="shared" si="17"/>
        <v>74</v>
      </c>
      <c r="N201" s="3">
        <v>14</v>
      </c>
    </row>
    <row r="202" ht="4.5" customHeight="1"/>
    <row r="203" spans="1:16" ht="12.75">
      <c r="A203" s="9" t="s">
        <v>5</v>
      </c>
      <c r="C203" s="3">
        <f aca="true" t="shared" si="18" ref="C203:J203">SUM(C149:C201)</f>
        <v>6351</v>
      </c>
      <c r="D203" s="3">
        <f t="shared" si="18"/>
        <v>2909</v>
      </c>
      <c r="E203" s="3">
        <f t="shared" si="18"/>
        <v>3442</v>
      </c>
      <c r="F203" s="3">
        <f t="shared" si="18"/>
        <v>0</v>
      </c>
      <c r="G203" s="3">
        <f t="shared" si="18"/>
        <v>25</v>
      </c>
      <c r="H203" s="3">
        <f t="shared" si="18"/>
        <v>220</v>
      </c>
      <c r="I203" s="3">
        <f t="shared" si="18"/>
        <v>149</v>
      </c>
      <c r="J203" s="3">
        <f t="shared" si="18"/>
        <v>132</v>
      </c>
      <c r="L203" s="3">
        <f>SUM(L149:L201)</f>
        <v>4963</v>
      </c>
      <c r="N203" s="3">
        <f>SUM(N149:N201)</f>
        <v>1388</v>
      </c>
      <c r="P203" s="3">
        <f>SUM(P149:P201)</f>
        <v>305</v>
      </c>
    </row>
    <row r="204" spans="1:17" ht="15.75">
      <c r="A204" s="1" t="s">
        <v>169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6" spans="8:16" ht="12.75">
      <c r="H206" s="4" t="s">
        <v>1</v>
      </c>
      <c r="N206" s="5" t="s">
        <v>2</v>
      </c>
      <c r="P206" s="5" t="s">
        <v>3</v>
      </c>
    </row>
    <row r="207" spans="1:16" ht="12.75">
      <c r="A207" s="4" t="s">
        <v>157</v>
      </c>
      <c r="B207" s="6"/>
      <c r="C207" s="7" t="s">
        <v>5</v>
      </c>
      <c r="D207" s="7" t="s">
        <v>6</v>
      </c>
      <c r="E207" s="7" t="s">
        <v>7</v>
      </c>
      <c r="F207" s="6"/>
      <c r="G207" s="7" t="s">
        <v>8</v>
      </c>
      <c r="H207" s="7" t="s">
        <v>9</v>
      </c>
      <c r="I207" s="7" t="s">
        <v>10</v>
      </c>
      <c r="J207" s="7" t="s">
        <v>11</v>
      </c>
      <c r="K207" s="6"/>
      <c r="L207" s="8" t="s">
        <v>12</v>
      </c>
      <c r="M207" s="6"/>
      <c r="N207" s="8" t="s">
        <v>13</v>
      </c>
      <c r="O207" s="6"/>
      <c r="P207" s="8" t="s">
        <v>14</v>
      </c>
    </row>
    <row r="208" spans="2:14" ht="12" customHeight="1">
      <c r="B208" s="9" t="s">
        <v>158</v>
      </c>
      <c r="C208" s="3">
        <f>D208+E208</f>
        <v>0</v>
      </c>
      <c r="D208" s="3">
        <v>0</v>
      </c>
      <c r="E208" s="3">
        <v>0</v>
      </c>
      <c r="L208" s="3">
        <f>(C208-N208)</f>
        <v>0</v>
      </c>
      <c r="N208" s="3">
        <v>0</v>
      </c>
    </row>
    <row r="209" spans="2:14" ht="12" customHeight="1">
      <c r="B209" s="9" t="s">
        <v>159</v>
      </c>
      <c r="C209" s="3">
        <f>D209+E209</f>
        <v>394</v>
      </c>
      <c r="D209" s="3">
        <v>144</v>
      </c>
      <c r="E209" s="3">
        <v>250</v>
      </c>
      <c r="G209" s="3">
        <v>1</v>
      </c>
      <c r="H209" s="3">
        <v>1</v>
      </c>
      <c r="I209" s="3">
        <v>2</v>
      </c>
      <c r="J209" s="3">
        <v>1</v>
      </c>
      <c r="L209" s="3">
        <f>(C209-N209)</f>
        <v>251</v>
      </c>
      <c r="N209" s="3">
        <v>143</v>
      </c>
    </row>
    <row r="211" spans="1:16" ht="12.75">
      <c r="A211" s="9" t="s">
        <v>5</v>
      </c>
      <c r="C211" s="3">
        <f>SUM(C208:C209)</f>
        <v>394</v>
      </c>
      <c r="D211" s="3">
        <f>SUM(D208:D209)</f>
        <v>144</v>
      </c>
      <c r="E211" s="3">
        <f>SUM(E208:E209)</f>
        <v>250</v>
      </c>
      <c r="G211" s="3">
        <f>SUM(G208:G209)</f>
        <v>1</v>
      </c>
      <c r="H211" s="3">
        <f>SUM(H208:H209)</f>
        <v>1</v>
      </c>
      <c r="I211" s="3">
        <f>SUM(I208:I209)</f>
        <v>2</v>
      </c>
      <c r="J211" s="3">
        <f>SUM(J208:J209)</f>
        <v>1</v>
      </c>
      <c r="L211" s="3">
        <f>SUM(L208:L209)</f>
        <v>251</v>
      </c>
      <c r="N211" s="3">
        <f>SUM(N208:N209)</f>
        <v>143</v>
      </c>
      <c r="P211" s="3">
        <f>SUM(P208:P209)</f>
        <v>0</v>
      </c>
    </row>
    <row r="217" spans="8:16" ht="12.75">
      <c r="H217" s="4" t="s">
        <v>1</v>
      </c>
      <c r="N217" s="5" t="s">
        <v>2</v>
      </c>
      <c r="P217" s="5" t="s">
        <v>3</v>
      </c>
    </row>
    <row r="218" spans="3:16" ht="12.75">
      <c r="C218" s="7" t="s">
        <v>5</v>
      </c>
      <c r="D218" s="7" t="s">
        <v>6</v>
      </c>
      <c r="E218" s="7" t="s">
        <v>7</v>
      </c>
      <c r="F218" s="6"/>
      <c r="G218" s="7" t="s">
        <v>8</v>
      </c>
      <c r="H218" s="7" t="s">
        <v>9</v>
      </c>
      <c r="I218" s="7" t="s">
        <v>10</v>
      </c>
      <c r="J218" s="7" t="s">
        <v>11</v>
      </c>
      <c r="K218" s="6"/>
      <c r="L218" s="8" t="s">
        <v>12</v>
      </c>
      <c r="M218" s="6"/>
      <c r="N218" s="8" t="s">
        <v>13</v>
      </c>
      <c r="O218" s="6"/>
      <c r="P218" s="8" t="s">
        <v>14</v>
      </c>
    </row>
    <row r="220" spans="1:16" ht="12.75">
      <c r="A220" s="9" t="s">
        <v>160</v>
      </c>
      <c r="C220" s="3">
        <f>C37+C58+C77+C91+C114+C140+C203+C211</f>
        <v>22481</v>
      </c>
      <c r="D220" s="3">
        <f>D37+D58+D77+D91+D114+D140+D203+D211</f>
        <v>12391</v>
      </c>
      <c r="E220" s="3">
        <f>E37+E58+E77+E91+E114+E140+E203+E211</f>
        <v>10090</v>
      </c>
      <c r="G220" s="3">
        <f>G37+G58+G77+G91+G114+G140+G203+G211</f>
        <v>80</v>
      </c>
      <c r="H220" s="3">
        <f>H37+H58+H77+H91+H114+H140+H203+H211</f>
        <v>548</v>
      </c>
      <c r="I220" s="3">
        <f>I37+I58+I77+I91+I114+I140+I203+I211</f>
        <v>553</v>
      </c>
      <c r="J220" s="3">
        <f>J37+J58+J77+J91+J114+J140+J203+J211</f>
        <v>364</v>
      </c>
      <c r="L220" s="3">
        <f>L37+L58+L77+L91+L114+L140+L203+L211</f>
        <v>17407</v>
      </c>
      <c r="N220" s="3">
        <f>N37+N58+N77+N91+N114+N140+N203+N211</f>
        <v>5074</v>
      </c>
      <c r="P220" s="3">
        <f>P37+P58+P77+P91+P114+P140+P203+P211</f>
        <v>1050</v>
      </c>
    </row>
    <row r="227" spans="1:3" ht="12.75">
      <c r="A227" s="9" t="s">
        <v>161</v>
      </c>
      <c r="B227" s="11"/>
      <c r="C227" s="11"/>
    </row>
    <row r="228" spans="2:3" ht="12.75">
      <c r="B228" s="9" t="s">
        <v>162</v>
      </c>
      <c r="C228" s="11"/>
    </row>
    <row r="229" spans="2:3" ht="12.75">
      <c r="B229" s="9" t="s">
        <v>163</v>
      </c>
      <c r="C229" s="11"/>
    </row>
    <row r="230" spans="2:3" ht="12.75">
      <c r="B230" s="9" t="s">
        <v>164</v>
      </c>
      <c r="C230" s="11"/>
    </row>
    <row r="231" spans="2:3" ht="12.75">
      <c r="B231" s="9" t="s">
        <v>165</v>
      </c>
      <c r="C231" s="11"/>
    </row>
    <row r="232" spans="2:3" ht="12.75">
      <c r="B232" s="11"/>
      <c r="C232" s="11"/>
    </row>
    <row r="233" spans="1:3" ht="12.75">
      <c r="A233" s="9" t="s">
        <v>166</v>
      </c>
      <c r="B233" s="11"/>
      <c r="C233" s="11"/>
    </row>
    <row r="252" ht="12.75">
      <c r="A252" s="9"/>
    </row>
    <row r="253" ht="12.75">
      <c r="A253" s="9"/>
    </row>
  </sheetData>
  <mergeCells count="1">
    <mergeCell ref="A1:Q1"/>
  </mergeCells>
  <printOptions horizontalCentered="1"/>
  <pageMargins left="0.4" right="0.4" top="0.75" bottom="0.5" header="0.5" footer="0.5"/>
  <pageSetup fitToHeight="0" horizontalDpi="300" verticalDpi="300" orientation="portrait" scale="99" r:id="rId1"/>
  <rowBreaks count="4" manualBreakCount="4">
    <brk id="42" max="16" man="1"/>
    <brk id="92" max="16" man="1"/>
    <brk id="144" max="16" man="1"/>
    <brk id="20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59"/>
  <sheetViews>
    <sheetView showGridLines="0" zoomScale="75" zoomScaleNormal="75" zoomScaleSheetLayoutView="75" workbookViewId="0" topLeftCell="A1">
      <selection activeCell="R1" sqref="R1:T16384"/>
    </sheetView>
  </sheetViews>
  <sheetFormatPr defaultColWidth="9.7109375" defaultRowHeight="12.75"/>
  <cols>
    <col min="1" max="1" width="1.7109375" style="3" customWidth="1"/>
    <col min="2" max="2" width="39.00390625" style="3" customWidth="1"/>
    <col min="3" max="3" width="4.7109375" style="3" customWidth="1"/>
    <col min="4" max="4" width="5.7109375" style="3" customWidth="1"/>
    <col min="5" max="5" width="6.7109375" style="3" customWidth="1"/>
    <col min="6" max="6" width="0.9921875" style="3" customWidth="1"/>
    <col min="7" max="7" width="3.7109375" style="3" customWidth="1"/>
    <col min="8" max="8" width="4.140625" style="3" customWidth="1"/>
    <col min="9" max="10" width="3.7109375" style="3" customWidth="1"/>
    <col min="11" max="11" width="2.7109375" style="3" customWidth="1"/>
    <col min="12" max="12" width="4.7109375" style="3" customWidth="1"/>
    <col min="13" max="13" width="3.7109375" style="3" customWidth="1"/>
    <col min="14" max="14" width="4.7109375" style="3" customWidth="1"/>
    <col min="15" max="15" width="3.7109375" style="3" customWidth="1"/>
    <col min="16" max="16" width="4.7109375" style="3" customWidth="1"/>
    <col min="17" max="17" width="2.28125" style="3" customWidth="1"/>
    <col min="18" max="16384" width="9.7109375" style="3" customWidth="1"/>
  </cols>
  <sheetData>
    <row r="1" spans="1:17" ht="15.75">
      <c r="A1" s="1" t="s">
        <v>169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 customHeight="1">
      <c r="A2" s="1" t="s">
        <v>175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5" spans="8:16" ht="12.75">
      <c r="H5" s="4" t="s">
        <v>1</v>
      </c>
      <c r="N5" s="5" t="s">
        <v>2</v>
      </c>
      <c r="P5" s="5" t="s">
        <v>3</v>
      </c>
    </row>
    <row r="6" spans="1:16" ht="12.75">
      <c r="A6" s="4" t="s">
        <v>4</v>
      </c>
      <c r="B6" s="6"/>
      <c r="C6" s="7" t="s">
        <v>5</v>
      </c>
      <c r="D6" s="7" t="s">
        <v>6</v>
      </c>
      <c r="E6" s="7" t="s">
        <v>7</v>
      </c>
      <c r="F6" s="6"/>
      <c r="G6" s="7" t="s">
        <v>8</v>
      </c>
      <c r="H6" s="7" t="s">
        <v>9</v>
      </c>
      <c r="I6" s="7" t="s">
        <v>10</v>
      </c>
      <c r="J6" s="7" t="s">
        <v>11</v>
      </c>
      <c r="K6" s="6"/>
      <c r="L6" s="8" t="s">
        <v>12</v>
      </c>
      <c r="M6" s="6"/>
      <c r="N6" s="8" t="s">
        <v>13</v>
      </c>
      <c r="O6" s="6"/>
      <c r="P6" s="8" t="s">
        <v>14</v>
      </c>
    </row>
    <row r="7" spans="2:16" ht="12" customHeight="1">
      <c r="B7" s="9" t="s">
        <v>176</v>
      </c>
      <c r="C7" s="3">
        <f aca="true" t="shared" si="0" ref="C7:C22">D7+E7</f>
        <v>45</v>
      </c>
      <c r="D7" s="3">
        <v>25</v>
      </c>
      <c r="E7" s="3">
        <v>20</v>
      </c>
      <c r="G7" s="3">
        <v>1</v>
      </c>
      <c r="H7" s="3">
        <v>4</v>
      </c>
      <c r="L7" s="3">
        <f aca="true" t="shared" si="1" ref="L7:L22">(C7-N7)</f>
        <v>20</v>
      </c>
      <c r="N7" s="3">
        <v>25</v>
      </c>
      <c r="P7" s="3">
        <v>12</v>
      </c>
    </row>
    <row r="8" spans="2:16" ht="12" customHeight="1">
      <c r="B8" s="9" t="s">
        <v>22</v>
      </c>
      <c r="C8" s="3">
        <f t="shared" si="0"/>
        <v>194</v>
      </c>
      <c r="D8" s="3">
        <f>138+4</f>
        <v>142</v>
      </c>
      <c r="E8" s="3">
        <f>48+4</f>
        <v>52</v>
      </c>
      <c r="H8" s="3">
        <v>2</v>
      </c>
      <c r="J8" s="3">
        <v>4</v>
      </c>
      <c r="L8" s="3">
        <f t="shared" si="1"/>
        <v>86</v>
      </c>
      <c r="N8" s="3">
        <f>71+37</f>
        <v>108</v>
      </c>
      <c r="P8" s="3">
        <f>34+19</f>
        <v>53</v>
      </c>
    </row>
    <row r="9" spans="2:16" ht="12" customHeight="1">
      <c r="B9" s="9" t="s">
        <v>23</v>
      </c>
      <c r="C9" s="3">
        <f t="shared" si="0"/>
        <v>30</v>
      </c>
      <c r="D9" s="3">
        <v>21</v>
      </c>
      <c r="E9" s="3">
        <v>9</v>
      </c>
      <c r="L9" s="3">
        <f t="shared" si="1"/>
        <v>12</v>
      </c>
      <c r="N9" s="3">
        <v>18</v>
      </c>
      <c r="P9" s="3">
        <v>1</v>
      </c>
    </row>
    <row r="10" spans="2:16" ht="12" customHeight="1">
      <c r="B10" s="9" t="s">
        <v>24</v>
      </c>
      <c r="C10" s="3">
        <f t="shared" si="0"/>
        <v>82</v>
      </c>
      <c r="D10" s="3">
        <v>48</v>
      </c>
      <c r="E10" s="3">
        <v>34</v>
      </c>
      <c r="H10" s="3">
        <v>1</v>
      </c>
      <c r="J10" s="3">
        <v>1</v>
      </c>
      <c r="L10" s="3">
        <f t="shared" si="1"/>
        <v>30</v>
      </c>
      <c r="N10" s="3">
        <f>34+18</f>
        <v>52</v>
      </c>
      <c r="P10" s="3">
        <f>21+5</f>
        <v>26</v>
      </c>
    </row>
    <row r="11" spans="2:16" ht="12" customHeight="1">
      <c r="B11" s="9" t="s">
        <v>177</v>
      </c>
      <c r="C11" s="3">
        <f t="shared" si="0"/>
        <v>24</v>
      </c>
      <c r="D11" s="3">
        <v>17</v>
      </c>
      <c r="E11" s="3">
        <v>7</v>
      </c>
      <c r="L11" s="3">
        <f t="shared" si="1"/>
        <v>8</v>
      </c>
      <c r="N11" s="3">
        <v>16</v>
      </c>
      <c r="P11" s="3">
        <v>9</v>
      </c>
    </row>
    <row r="12" spans="2:12" ht="12" customHeight="1">
      <c r="B12" s="9" t="s">
        <v>178</v>
      </c>
      <c r="C12" s="3">
        <f t="shared" si="0"/>
        <v>0</v>
      </c>
      <c r="D12" s="3">
        <v>0</v>
      </c>
      <c r="E12" s="3">
        <v>0</v>
      </c>
      <c r="L12" s="3">
        <f t="shared" si="1"/>
        <v>0</v>
      </c>
    </row>
    <row r="13" spans="2:16" ht="12" customHeight="1">
      <c r="B13" s="9" t="s">
        <v>179</v>
      </c>
      <c r="C13" s="3">
        <f t="shared" si="0"/>
        <v>16</v>
      </c>
      <c r="D13" s="3">
        <v>10</v>
      </c>
      <c r="E13" s="3">
        <v>6</v>
      </c>
      <c r="L13" s="3">
        <f t="shared" si="1"/>
        <v>4</v>
      </c>
      <c r="N13" s="3">
        <v>12</v>
      </c>
      <c r="P13" s="3">
        <v>10</v>
      </c>
    </row>
    <row r="14" spans="2:16" ht="12" customHeight="1">
      <c r="B14" s="9" t="s">
        <v>29</v>
      </c>
      <c r="C14" s="3">
        <f t="shared" si="0"/>
        <v>39</v>
      </c>
      <c r="D14" s="3">
        <v>28</v>
      </c>
      <c r="E14" s="3">
        <v>11</v>
      </c>
      <c r="H14" s="3">
        <v>1</v>
      </c>
      <c r="J14" s="3">
        <v>1</v>
      </c>
      <c r="L14" s="3">
        <f t="shared" si="1"/>
        <v>15</v>
      </c>
      <c r="N14" s="3">
        <f>16+8</f>
        <v>24</v>
      </c>
      <c r="P14" s="3">
        <v>13</v>
      </c>
    </row>
    <row r="15" spans="2:16" ht="12" customHeight="1">
      <c r="B15" s="9" t="s">
        <v>180</v>
      </c>
      <c r="C15" s="3">
        <f t="shared" si="0"/>
        <v>20</v>
      </c>
      <c r="D15" s="3">
        <v>9</v>
      </c>
      <c r="E15" s="3">
        <v>11</v>
      </c>
      <c r="I15" s="3">
        <v>1</v>
      </c>
      <c r="J15" s="3">
        <v>1</v>
      </c>
      <c r="L15" s="3">
        <f t="shared" si="1"/>
        <v>4</v>
      </c>
      <c r="N15" s="3">
        <v>16</v>
      </c>
      <c r="P15" s="3">
        <v>13</v>
      </c>
    </row>
    <row r="16" spans="2:16" ht="12" customHeight="1">
      <c r="B16" s="9" t="s">
        <v>32</v>
      </c>
      <c r="C16" s="3">
        <f t="shared" si="0"/>
        <v>29</v>
      </c>
      <c r="D16" s="3">
        <v>20</v>
      </c>
      <c r="E16" s="3">
        <v>9</v>
      </c>
      <c r="H16" s="3">
        <v>2</v>
      </c>
      <c r="L16" s="3">
        <f t="shared" si="1"/>
        <v>12</v>
      </c>
      <c r="N16" s="3">
        <v>17</v>
      </c>
      <c r="P16" s="3">
        <v>10</v>
      </c>
    </row>
    <row r="17" spans="2:16" ht="12" customHeight="1">
      <c r="B17" s="9" t="s">
        <v>35</v>
      </c>
      <c r="C17" s="3">
        <f t="shared" si="0"/>
        <v>18</v>
      </c>
      <c r="D17" s="3">
        <v>9</v>
      </c>
      <c r="E17" s="3">
        <v>9</v>
      </c>
      <c r="L17" s="3">
        <f t="shared" si="1"/>
        <v>11</v>
      </c>
      <c r="N17" s="3">
        <v>7</v>
      </c>
      <c r="P17" s="3">
        <v>2</v>
      </c>
    </row>
    <row r="18" spans="2:16" ht="12" customHeight="1">
      <c r="B18" s="9" t="s">
        <v>36</v>
      </c>
      <c r="C18" s="3">
        <f t="shared" si="0"/>
        <v>27</v>
      </c>
      <c r="D18" s="3">
        <v>15</v>
      </c>
      <c r="E18" s="3">
        <v>12</v>
      </c>
      <c r="I18" s="3">
        <v>1</v>
      </c>
      <c r="L18" s="3">
        <f t="shared" si="1"/>
        <v>14</v>
      </c>
      <c r="N18" s="3">
        <v>13</v>
      </c>
      <c r="P18" s="3">
        <v>9</v>
      </c>
    </row>
    <row r="19" spans="2:16" ht="12" customHeight="1">
      <c r="B19" s="9" t="s">
        <v>181</v>
      </c>
      <c r="C19" s="3">
        <f t="shared" si="0"/>
        <v>35</v>
      </c>
      <c r="D19" s="3">
        <v>21</v>
      </c>
      <c r="E19" s="3">
        <v>14</v>
      </c>
      <c r="H19" s="3">
        <v>1</v>
      </c>
      <c r="L19" s="3">
        <f t="shared" si="1"/>
        <v>14</v>
      </c>
      <c r="N19" s="3">
        <v>21</v>
      </c>
      <c r="P19" s="3">
        <v>13</v>
      </c>
    </row>
    <row r="20" spans="2:14" ht="12" customHeight="1">
      <c r="B20" s="9" t="s">
        <v>39</v>
      </c>
      <c r="C20" s="3">
        <f t="shared" si="0"/>
        <v>25</v>
      </c>
      <c r="D20" s="3">
        <v>19</v>
      </c>
      <c r="E20" s="3">
        <v>6</v>
      </c>
      <c r="I20" s="3">
        <v>1</v>
      </c>
      <c r="L20" s="3">
        <f t="shared" si="1"/>
        <v>17</v>
      </c>
      <c r="N20" s="3">
        <v>8</v>
      </c>
    </row>
    <row r="21" spans="2:16" ht="12" customHeight="1">
      <c r="B21" s="9" t="s">
        <v>182</v>
      </c>
      <c r="C21" s="3">
        <f t="shared" si="0"/>
        <v>14</v>
      </c>
      <c r="D21" s="3">
        <v>7</v>
      </c>
      <c r="E21" s="3">
        <v>7</v>
      </c>
      <c r="H21" s="3">
        <v>1</v>
      </c>
      <c r="I21" s="3">
        <v>1</v>
      </c>
      <c r="L21" s="3">
        <f t="shared" si="1"/>
        <v>2</v>
      </c>
      <c r="N21" s="3">
        <v>12</v>
      </c>
      <c r="P21" s="3">
        <v>6</v>
      </c>
    </row>
    <row r="22" spans="2:16" ht="12" customHeight="1">
      <c r="B22" s="9" t="s">
        <v>183</v>
      </c>
      <c r="C22" s="3">
        <f t="shared" si="0"/>
        <v>28</v>
      </c>
      <c r="D22" s="3">
        <v>13</v>
      </c>
      <c r="E22" s="3">
        <v>15</v>
      </c>
      <c r="G22" s="3">
        <v>1</v>
      </c>
      <c r="L22" s="3">
        <f t="shared" si="1"/>
        <v>9</v>
      </c>
      <c r="N22" s="3">
        <v>19</v>
      </c>
      <c r="P22" s="3">
        <v>12</v>
      </c>
    </row>
    <row r="24" spans="1:16" ht="12.75">
      <c r="A24" s="9" t="s">
        <v>5</v>
      </c>
      <c r="C24" s="3">
        <f>SUM(C7:C22)</f>
        <v>626</v>
      </c>
      <c r="D24" s="3">
        <f>SUM(D7:D22)</f>
        <v>404</v>
      </c>
      <c r="E24" s="3">
        <f>SUM(E7:E22)</f>
        <v>222</v>
      </c>
      <c r="G24" s="3">
        <f>SUM(G7:G22)</f>
        <v>2</v>
      </c>
      <c r="H24" s="3">
        <f>SUM(H7:H22)</f>
        <v>12</v>
      </c>
      <c r="I24" s="3">
        <f>SUM(I7:I22)</f>
        <v>4</v>
      </c>
      <c r="J24" s="3">
        <f>SUM(J7:J22)</f>
        <v>7</v>
      </c>
      <c r="L24" s="3">
        <f>SUM(L7:L22)</f>
        <v>258</v>
      </c>
      <c r="N24" s="3">
        <f>SUM(N7:N22)</f>
        <v>368</v>
      </c>
      <c r="P24" s="3">
        <f>SUM(P7:P22)</f>
        <v>189</v>
      </c>
    </row>
    <row r="28" spans="8:16" ht="12.75">
      <c r="H28" s="4" t="s">
        <v>1</v>
      </c>
      <c r="N28" s="5" t="s">
        <v>2</v>
      </c>
      <c r="P28" s="5" t="s">
        <v>3</v>
      </c>
    </row>
    <row r="29" spans="1:16" ht="12.75">
      <c r="A29" s="4" t="s">
        <v>42</v>
      </c>
      <c r="C29" s="7" t="s">
        <v>5</v>
      </c>
      <c r="D29" s="7" t="s">
        <v>6</v>
      </c>
      <c r="E29" s="7" t="s">
        <v>7</v>
      </c>
      <c r="F29" s="6"/>
      <c r="G29" s="7" t="s">
        <v>8</v>
      </c>
      <c r="H29" s="7" t="s">
        <v>9</v>
      </c>
      <c r="I29" s="7" t="s">
        <v>10</v>
      </c>
      <c r="J29" s="7" t="s">
        <v>11</v>
      </c>
      <c r="K29" s="6"/>
      <c r="L29" s="8" t="s">
        <v>12</v>
      </c>
      <c r="M29" s="6"/>
      <c r="N29" s="8" t="s">
        <v>13</v>
      </c>
      <c r="O29" s="6"/>
      <c r="P29" s="8" t="s">
        <v>14</v>
      </c>
    </row>
    <row r="30" spans="1:16" ht="12.75">
      <c r="A30" s="4"/>
      <c r="B30" s="3" t="s">
        <v>45</v>
      </c>
      <c r="C30" s="3">
        <f>D30+E30</f>
        <v>6</v>
      </c>
      <c r="D30" s="3">
        <v>1</v>
      </c>
      <c r="E30" s="3">
        <v>5</v>
      </c>
      <c r="L30" s="3">
        <f>(C30-N30)</f>
        <v>4</v>
      </c>
      <c r="N30" s="3">
        <v>2</v>
      </c>
      <c r="P30" s="3">
        <v>2</v>
      </c>
    </row>
    <row r="31" spans="2:16" ht="12" customHeight="1">
      <c r="B31" s="9" t="s">
        <v>184</v>
      </c>
      <c r="C31" s="3">
        <f>D31+E31</f>
        <v>259</v>
      </c>
      <c r="D31" s="3">
        <v>173</v>
      </c>
      <c r="E31" s="3">
        <v>86</v>
      </c>
      <c r="H31" s="3">
        <v>5</v>
      </c>
      <c r="I31" s="3">
        <v>2</v>
      </c>
      <c r="J31" s="3">
        <v>5</v>
      </c>
      <c r="L31" s="3">
        <f>(C31-N31)</f>
        <v>203</v>
      </c>
      <c r="N31" s="3">
        <f>40+16</f>
        <v>56</v>
      </c>
      <c r="P31" s="3">
        <f>34+13</f>
        <v>47</v>
      </c>
    </row>
    <row r="33" spans="1:16" ht="12.75">
      <c r="A33" s="9" t="s">
        <v>5</v>
      </c>
      <c r="C33" s="3">
        <f>SUM(C30:C31)</f>
        <v>265</v>
      </c>
      <c r="D33" s="3">
        <f aca="true" t="shared" si="2" ref="D33:P33">SUM(D30:D31)</f>
        <v>174</v>
      </c>
      <c r="E33" s="3">
        <f t="shared" si="2"/>
        <v>91</v>
      </c>
      <c r="G33" s="3">
        <f t="shared" si="2"/>
        <v>0</v>
      </c>
      <c r="H33" s="3">
        <f t="shared" si="2"/>
        <v>5</v>
      </c>
      <c r="I33" s="3">
        <f t="shared" si="2"/>
        <v>2</v>
      </c>
      <c r="J33" s="3">
        <f t="shared" si="2"/>
        <v>5</v>
      </c>
      <c r="L33" s="3">
        <f t="shared" si="2"/>
        <v>207</v>
      </c>
      <c r="N33" s="3">
        <f t="shared" si="2"/>
        <v>58</v>
      </c>
      <c r="P33" s="3">
        <f t="shared" si="2"/>
        <v>49</v>
      </c>
    </row>
    <row r="34" ht="12.75">
      <c r="A34" s="9"/>
    </row>
    <row r="35" ht="12.75">
      <c r="A35" s="9"/>
    </row>
    <row r="37" spans="8:16" ht="12.75">
      <c r="H37" s="4" t="s">
        <v>1</v>
      </c>
      <c r="N37" s="5" t="s">
        <v>2</v>
      </c>
      <c r="P37" s="5" t="s">
        <v>3</v>
      </c>
    </row>
    <row r="38" spans="1:16" ht="12.75">
      <c r="A38" s="4" t="s">
        <v>53</v>
      </c>
      <c r="B38" s="6"/>
      <c r="C38" s="7" t="s">
        <v>5</v>
      </c>
      <c r="D38" s="7" t="s">
        <v>6</v>
      </c>
      <c r="E38" s="7" t="s">
        <v>7</v>
      </c>
      <c r="F38" s="6"/>
      <c r="G38" s="7" t="s">
        <v>8</v>
      </c>
      <c r="H38" s="7" t="s">
        <v>9</v>
      </c>
      <c r="I38" s="7" t="s">
        <v>10</v>
      </c>
      <c r="J38" s="7" t="s">
        <v>11</v>
      </c>
      <c r="K38" s="6"/>
      <c r="L38" s="8" t="s">
        <v>12</v>
      </c>
      <c r="M38" s="6"/>
      <c r="N38" s="8" t="s">
        <v>13</v>
      </c>
      <c r="O38" s="6"/>
      <c r="P38" s="8" t="s">
        <v>14</v>
      </c>
    </row>
    <row r="39" spans="2:16" ht="12" customHeight="1">
      <c r="B39" s="9" t="s">
        <v>185</v>
      </c>
      <c r="C39" s="3">
        <f>D39+E39</f>
        <v>33</v>
      </c>
      <c r="D39" s="3">
        <v>23</v>
      </c>
      <c r="E39" s="3">
        <v>10</v>
      </c>
      <c r="L39" s="3">
        <f>(C39-N39)</f>
        <v>14</v>
      </c>
      <c r="N39" s="3">
        <v>19</v>
      </c>
      <c r="P39" s="3">
        <v>14</v>
      </c>
    </row>
    <row r="40" spans="2:16" ht="12" customHeight="1">
      <c r="B40" s="9" t="s">
        <v>57</v>
      </c>
      <c r="C40" s="3">
        <f>D40+E40</f>
        <v>49</v>
      </c>
      <c r="D40" s="3">
        <v>16</v>
      </c>
      <c r="E40" s="3">
        <v>33</v>
      </c>
      <c r="I40" s="3">
        <v>1</v>
      </c>
      <c r="J40" s="3">
        <v>3</v>
      </c>
      <c r="L40" s="3">
        <f>(C40-N40)</f>
        <v>26</v>
      </c>
      <c r="N40" s="3">
        <v>23</v>
      </c>
      <c r="P40" s="3">
        <v>18</v>
      </c>
    </row>
    <row r="41" spans="2:16" ht="12" customHeight="1">
      <c r="B41" s="9" t="s">
        <v>60</v>
      </c>
      <c r="C41" s="3">
        <f>D41+E41</f>
        <v>32</v>
      </c>
      <c r="D41" s="3">
        <v>19</v>
      </c>
      <c r="E41" s="3">
        <v>13</v>
      </c>
      <c r="H41" s="3">
        <v>3</v>
      </c>
      <c r="I41" s="3">
        <v>1</v>
      </c>
      <c r="L41" s="3">
        <f>(C41-N41)</f>
        <v>17</v>
      </c>
      <c r="N41" s="3">
        <v>15</v>
      </c>
      <c r="P41" s="3">
        <v>9</v>
      </c>
    </row>
    <row r="42" spans="2:16" ht="12" customHeight="1">
      <c r="B42" s="9" t="s">
        <v>63</v>
      </c>
      <c r="C42" s="3">
        <f>D42+E42</f>
        <v>25</v>
      </c>
      <c r="D42" s="3">
        <v>17</v>
      </c>
      <c r="E42" s="3">
        <v>8</v>
      </c>
      <c r="I42" s="3">
        <v>1</v>
      </c>
      <c r="L42" s="3">
        <f>(C42-N42)</f>
        <v>10</v>
      </c>
      <c r="N42" s="3">
        <v>15</v>
      </c>
      <c r="P42" s="3">
        <v>6</v>
      </c>
    </row>
    <row r="44" spans="1:16" ht="12.75">
      <c r="A44" s="9" t="s">
        <v>5</v>
      </c>
      <c r="C44" s="3">
        <f>SUM(C39:C42)</f>
        <v>139</v>
      </c>
      <c r="D44" s="3">
        <f>SUM(D39:D42)</f>
        <v>75</v>
      </c>
      <c r="E44" s="3">
        <f>SUM(E39:E42)</f>
        <v>64</v>
      </c>
      <c r="G44" s="3">
        <f>SUM(G39:G42)</f>
        <v>0</v>
      </c>
      <c r="H44" s="3">
        <f>SUM(H39:H42)</f>
        <v>3</v>
      </c>
      <c r="I44" s="3">
        <f>SUM(I39:I42)</f>
        <v>3</v>
      </c>
      <c r="J44" s="3">
        <f>SUM(J39:J42)</f>
        <v>3</v>
      </c>
      <c r="L44" s="3">
        <f>SUM(L39:L42)</f>
        <v>67</v>
      </c>
      <c r="N44" s="3">
        <f>SUM(N39:N42)</f>
        <v>72</v>
      </c>
      <c r="P44" s="3">
        <f>SUM(P39:P42)</f>
        <v>47</v>
      </c>
    </row>
    <row r="48" spans="8:16" ht="12.75">
      <c r="H48" s="4" t="s">
        <v>1</v>
      </c>
      <c r="N48" s="5" t="s">
        <v>2</v>
      </c>
      <c r="P48" s="5" t="s">
        <v>3</v>
      </c>
    </row>
    <row r="49" spans="1:16" ht="12.75">
      <c r="A49" s="4" t="s">
        <v>66</v>
      </c>
      <c r="B49" s="6"/>
      <c r="C49" s="7" t="s">
        <v>5</v>
      </c>
      <c r="D49" s="7" t="s">
        <v>6</v>
      </c>
      <c r="E49" s="7" t="s">
        <v>7</v>
      </c>
      <c r="F49" s="6"/>
      <c r="G49" s="7" t="s">
        <v>8</v>
      </c>
      <c r="H49" s="7" t="s">
        <v>9</v>
      </c>
      <c r="I49" s="7" t="s">
        <v>10</v>
      </c>
      <c r="J49" s="7" t="s">
        <v>11</v>
      </c>
      <c r="K49" s="6"/>
      <c r="L49" s="8" t="s">
        <v>12</v>
      </c>
      <c r="M49" s="6"/>
      <c r="N49" s="8" t="s">
        <v>13</v>
      </c>
      <c r="O49" s="6"/>
      <c r="P49" s="8" t="s">
        <v>14</v>
      </c>
    </row>
    <row r="50" spans="2:16" ht="12" customHeight="1">
      <c r="B50" s="9" t="s">
        <v>186</v>
      </c>
      <c r="C50" s="3">
        <f>D50+E50</f>
        <v>110</v>
      </c>
      <c r="D50" s="3">
        <v>30</v>
      </c>
      <c r="E50" s="3">
        <v>80</v>
      </c>
      <c r="G50" s="3">
        <v>1</v>
      </c>
      <c r="H50" s="3">
        <v>6</v>
      </c>
      <c r="I50" s="3">
        <v>1</v>
      </c>
      <c r="J50" s="3">
        <v>4</v>
      </c>
      <c r="L50" s="3">
        <f>(C50-N50)</f>
        <v>84</v>
      </c>
      <c r="N50" s="3">
        <v>26</v>
      </c>
      <c r="P50" s="3">
        <v>15</v>
      </c>
    </row>
    <row r="51" spans="2:16" ht="12" customHeight="1">
      <c r="B51" s="9" t="s">
        <v>187</v>
      </c>
      <c r="C51" s="3">
        <f>D51+E51</f>
        <v>333</v>
      </c>
      <c r="D51" s="3">
        <v>130</v>
      </c>
      <c r="E51" s="3">
        <v>203</v>
      </c>
      <c r="H51" s="3">
        <f>15+13</f>
        <v>28</v>
      </c>
      <c r="I51" s="3">
        <v>3</v>
      </c>
      <c r="J51" s="3">
        <v>6</v>
      </c>
      <c r="L51" s="3">
        <f>(C51-N51)</f>
        <v>304</v>
      </c>
      <c r="N51" s="3">
        <v>29</v>
      </c>
      <c r="P51" s="3">
        <v>6</v>
      </c>
    </row>
    <row r="52" spans="2:16" ht="12.75">
      <c r="B52" s="9" t="s">
        <v>188</v>
      </c>
      <c r="C52" s="3">
        <f>D52+E52</f>
        <v>43</v>
      </c>
      <c r="D52" s="3">
        <v>27</v>
      </c>
      <c r="E52" s="3">
        <v>16</v>
      </c>
      <c r="L52" s="3">
        <f>(C52-N52)</f>
        <v>31</v>
      </c>
      <c r="N52" s="3">
        <v>12</v>
      </c>
      <c r="P52" s="3">
        <v>3</v>
      </c>
    </row>
    <row r="53" spans="2:16" ht="12" customHeight="1">
      <c r="B53" s="9" t="s">
        <v>73</v>
      </c>
      <c r="C53" s="3">
        <f>D53+E53</f>
        <v>26</v>
      </c>
      <c r="D53" s="3">
        <v>20</v>
      </c>
      <c r="E53" s="3">
        <v>6</v>
      </c>
      <c r="H53" s="3">
        <v>3</v>
      </c>
      <c r="L53" s="3">
        <f>(C53-N53)</f>
        <v>11</v>
      </c>
      <c r="N53" s="3">
        <v>15</v>
      </c>
      <c r="P53" s="3">
        <v>13</v>
      </c>
    </row>
    <row r="55" spans="1:16" ht="12.75">
      <c r="A55" s="9" t="s">
        <v>5</v>
      </c>
      <c r="C55" s="3">
        <f>SUM(C50:C53)</f>
        <v>512</v>
      </c>
      <c r="D55" s="3">
        <f>SUM(D50:D53)</f>
        <v>207</v>
      </c>
      <c r="E55" s="3">
        <f>SUM(E50:E53)</f>
        <v>305</v>
      </c>
      <c r="G55" s="3">
        <f>SUM(G50:G53)</f>
        <v>1</v>
      </c>
      <c r="H55" s="3">
        <f>SUM(H50:H53)</f>
        <v>37</v>
      </c>
      <c r="I55" s="3">
        <f>SUM(I50:I53)</f>
        <v>4</v>
      </c>
      <c r="J55" s="3">
        <f>SUM(J50:J53)</f>
        <v>10</v>
      </c>
      <c r="L55" s="3">
        <f>SUM(L50:L53)</f>
        <v>430</v>
      </c>
      <c r="N55" s="3">
        <f>SUM(N50:N53)</f>
        <v>82</v>
      </c>
      <c r="P55" s="3">
        <f>SUM(P50:P53)</f>
        <v>37</v>
      </c>
    </row>
    <row r="57" spans="1:17" ht="15.75">
      <c r="A57" s="14" t="s">
        <v>169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8:16" ht="12.75">
      <c r="H60" s="4" t="s">
        <v>1</v>
      </c>
      <c r="N60" s="5" t="s">
        <v>2</v>
      </c>
      <c r="P60" s="5" t="s">
        <v>3</v>
      </c>
    </row>
    <row r="61" spans="1:16" ht="12.75">
      <c r="A61" s="4" t="s">
        <v>75</v>
      </c>
      <c r="B61" s="6"/>
      <c r="C61" s="7" t="s">
        <v>5</v>
      </c>
      <c r="D61" s="7" t="s">
        <v>6</v>
      </c>
      <c r="E61" s="7" t="s">
        <v>7</v>
      </c>
      <c r="F61" s="6"/>
      <c r="G61" s="7" t="s">
        <v>8</v>
      </c>
      <c r="H61" s="7" t="s">
        <v>9</v>
      </c>
      <c r="I61" s="7" t="s">
        <v>10</v>
      </c>
      <c r="J61" s="7" t="s">
        <v>11</v>
      </c>
      <c r="K61" s="6"/>
      <c r="L61" s="8" t="s">
        <v>12</v>
      </c>
      <c r="M61" s="6"/>
      <c r="N61" s="8" t="s">
        <v>13</v>
      </c>
      <c r="O61" s="6"/>
      <c r="P61" s="8" t="s">
        <v>14</v>
      </c>
    </row>
    <row r="62" spans="2:16" ht="12" customHeight="1">
      <c r="B62" s="9" t="s">
        <v>189</v>
      </c>
      <c r="C62" s="3">
        <f aca="true" t="shared" si="3" ref="C62:C70">D62+E62</f>
        <v>38</v>
      </c>
      <c r="D62" s="3">
        <v>29</v>
      </c>
      <c r="E62" s="3">
        <v>9</v>
      </c>
      <c r="H62" s="3">
        <v>1</v>
      </c>
      <c r="L62" s="3">
        <f aca="true" t="shared" si="4" ref="L62:L70">(C62-N62)</f>
        <v>7</v>
      </c>
      <c r="N62" s="3">
        <v>31</v>
      </c>
      <c r="P62" s="3">
        <v>26</v>
      </c>
    </row>
    <row r="63" spans="2:16" ht="12" customHeight="1">
      <c r="B63" s="9" t="s">
        <v>190</v>
      </c>
      <c r="C63" s="3">
        <f t="shared" si="3"/>
        <v>48</v>
      </c>
      <c r="D63" s="3">
        <v>40</v>
      </c>
      <c r="E63" s="3">
        <v>8</v>
      </c>
      <c r="H63" s="3">
        <v>2</v>
      </c>
      <c r="J63" s="3">
        <v>1</v>
      </c>
      <c r="L63" s="3">
        <f t="shared" si="4"/>
        <v>14</v>
      </c>
      <c r="N63" s="3">
        <v>34</v>
      </c>
      <c r="P63" s="3">
        <v>25</v>
      </c>
    </row>
    <row r="64" spans="2:16" ht="12" customHeight="1">
      <c r="B64" s="9" t="s">
        <v>80</v>
      </c>
      <c r="C64" s="3">
        <f t="shared" si="3"/>
        <v>49</v>
      </c>
      <c r="D64" s="3">
        <v>35</v>
      </c>
      <c r="E64" s="3">
        <v>14</v>
      </c>
      <c r="J64" s="3">
        <v>1</v>
      </c>
      <c r="L64" s="3">
        <f t="shared" si="4"/>
        <v>4</v>
      </c>
      <c r="N64" s="3">
        <f>32+13</f>
        <v>45</v>
      </c>
      <c r="P64" s="3">
        <f>18+9</f>
        <v>27</v>
      </c>
    </row>
    <row r="65" spans="2:16" ht="12" customHeight="1">
      <c r="B65" s="9" t="s">
        <v>191</v>
      </c>
      <c r="C65" s="3">
        <f t="shared" si="3"/>
        <v>108</v>
      </c>
      <c r="D65" s="3">
        <v>88</v>
      </c>
      <c r="E65" s="3">
        <v>20</v>
      </c>
      <c r="H65" s="3">
        <v>1</v>
      </c>
      <c r="I65" s="3">
        <v>2</v>
      </c>
      <c r="L65" s="3">
        <f t="shared" si="4"/>
        <v>35</v>
      </c>
      <c r="N65" s="3">
        <f>55+18</f>
        <v>73</v>
      </c>
      <c r="P65" s="3">
        <f>49+12</f>
        <v>61</v>
      </c>
    </row>
    <row r="66" spans="2:16" ht="12" customHeight="1">
      <c r="B66" s="9" t="s">
        <v>192</v>
      </c>
      <c r="C66" s="3">
        <f t="shared" si="3"/>
        <v>251</v>
      </c>
      <c r="D66" s="3">
        <v>199</v>
      </c>
      <c r="E66" s="3">
        <v>52</v>
      </c>
      <c r="H66" s="3">
        <v>3</v>
      </c>
      <c r="I66" s="3">
        <v>4</v>
      </c>
      <c r="J66" s="3">
        <v>1</v>
      </c>
      <c r="L66" s="3">
        <f t="shared" si="4"/>
        <v>56</v>
      </c>
      <c r="N66" s="3">
        <f>150+45</f>
        <v>195</v>
      </c>
      <c r="P66" s="3">
        <f>134+42</f>
        <v>176</v>
      </c>
    </row>
    <row r="67" spans="2:16" ht="12" customHeight="1">
      <c r="B67" s="9" t="s">
        <v>193</v>
      </c>
      <c r="C67" s="3">
        <f t="shared" si="3"/>
        <v>73</v>
      </c>
      <c r="D67" s="3">
        <v>64</v>
      </c>
      <c r="E67" s="3">
        <v>9</v>
      </c>
      <c r="L67" s="3">
        <f t="shared" si="4"/>
        <v>4</v>
      </c>
      <c r="N67" s="3">
        <f>62+7</f>
        <v>69</v>
      </c>
      <c r="P67" s="3">
        <v>67</v>
      </c>
    </row>
    <row r="68" spans="2:16" ht="12" customHeight="1">
      <c r="B68" s="9" t="s">
        <v>194</v>
      </c>
      <c r="C68" s="3">
        <f t="shared" si="3"/>
        <v>66</v>
      </c>
      <c r="D68" s="3">
        <v>49</v>
      </c>
      <c r="E68" s="3">
        <v>17</v>
      </c>
      <c r="I68" s="3">
        <v>1</v>
      </c>
      <c r="L68" s="3">
        <f t="shared" si="4"/>
        <v>19</v>
      </c>
      <c r="N68" s="3">
        <f>35+12</f>
        <v>47</v>
      </c>
      <c r="P68" s="3">
        <f>29+10</f>
        <v>39</v>
      </c>
    </row>
    <row r="69" spans="2:16" ht="12" customHeight="1">
      <c r="B69" s="9" t="s">
        <v>88</v>
      </c>
      <c r="C69" s="3">
        <f>D69+E69</f>
        <v>104</v>
      </c>
      <c r="D69" s="3">
        <v>93</v>
      </c>
      <c r="E69" s="3">
        <v>11</v>
      </c>
      <c r="H69" s="3">
        <v>2</v>
      </c>
      <c r="I69" s="3">
        <v>1</v>
      </c>
      <c r="J69" s="3">
        <v>2</v>
      </c>
      <c r="L69" s="3">
        <f>(C69-N69)</f>
        <v>46</v>
      </c>
      <c r="N69" s="3">
        <f>50+8</f>
        <v>58</v>
      </c>
      <c r="P69" s="3">
        <v>40</v>
      </c>
    </row>
    <row r="70" spans="2:16" ht="12" customHeight="1">
      <c r="B70" s="9" t="s">
        <v>221</v>
      </c>
      <c r="C70" s="3">
        <f t="shared" si="3"/>
        <v>35</v>
      </c>
      <c r="D70" s="3">
        <v>28</v>
      </c>
      <c r="E70" s="3">
        <v>7</v>
      </c>
      <c r="I70" s="3">
        <v>1</v>
      </c>
      <c r="J70" s="3">
        <v>1</v>
      </c>
      <c r="L70" s="3">
        <f t="shared" si="4"/>
        <v>30</v>
      </c>
      <c r="N70" s="3">
        <v>5</v>
      </c>
      <c r="P70" s="3">
        <v>2</v>
      </c>
    </row>
    <row r="72" spans="1:16" ht="12.75">
      <c r="A72" s="9" t="s">
        <v>5</v>
      </c>
      <c r="C72" s="3">
        <f>SUM(C62:C70)</f>
        <v>772</v>
      </c>
      <c r="D72" s="3">
        <f>SUM(D62:D70)</f>
        <v>625</v>
      </c>
      <c r="E72" s="3">
        <f>SUM(E62:E70)</f>
        <v>147</v>
      </c>
      <c r="G72" s="3">
        <f>SUM(G62:G70)</f>
        <v>0</v>
      </c>
      <c r="H72" s="3">
        <f>SUM(H62:H70)</f>
        <v>9</v>
      </c>
      <c r="I72" s="3">
        <f>SUM(I62:I70)</f>
        <v>9</v>
      </c>
      <c r="J72" s="3">
        <f>SUM(J62:J70)</f>
        <v>6</v>
      </c>
      <c r="L72" s="3">
        <f>SUM(L62:L70)</f>
        <v>215</v>
      </c>
      <c r="N72" s="3">
        <f>SUM(N62:N70)</f>
        <v>557</v>
      </c>
      <c r="P72" s="3">
        <f>SUM(P62:P70)</f>
        <v>463</v>
      </c>
    </row>
    <row r="76" spans="8:16" ht="12.75">
      <c r="H76" s="4" t="s">
        <v>1</v>
      </c>
      <c r="N76" s="5" t="s">
        <v>2</v>
      </c>
      <c r="P76" s="5" t="s">
        <v>3</v>
      </c>
    </row>
    <row r="77" spans="1:16" ht="12.75">
      <c r="A77" s="4" t="s">
        <v>195</v>
      </c>
      <c r="B77" s="6"/>
      <c r="C77" s="7" t="s">
        <v>5</v>
      </c>
      <c r="D77" s="7" t="s">
        <v>6</v>
      </c>
      <c r="E77" s="7" t="s">
        <v>7</v>
      </c>
      <c r="F77" s="6"/>
      <c r="G77" s="7" t="s">
        <v>8</v>
      </c>
      <c r="H77" s="7" t="s">
        <v>9</v>
      </c>
      <c r="I77" s="7" t="s">
        <v>10</v>
      </c>
      <c r="J77" s="7" t="s">
        <v>11</v>
      </c>
      <c r="K77" s="6"/>
      <c r="L77" s="8" t="s">
        <v>12</v>
      </c>
      <c r="M77" s="6"/>
      <c r="N77" s="8" t="s">
        <v>13</v>
      </c>
      <c r="O77" s="6"/>
      <c r="P77" s="8" t="s">
        <v>14</v>
      </c>
    </row>
    <row r="78" spans="1:16" ht="12.75">
      <c r="A78" s="9"/>
      <c r="B78" s="9" t="s">
        <v>92</v>
      </c>
      <c r="C78" s="3">
        <f aca="true" t="shared" si="5" ref="C78:C83">D78+E78</f>
        <v>18</v>
      </c>
      <c r="D78" s="3">
        <v>1</v>
      </c>
      <c r="E78" s="3">
        <v>17</v>
      </c>
      <c r="L78" s="3">
        <f aca="true" t="shared" si="6" ref="L78:L83">(C78-N78)</f>
        <v>17</v>
      </c>
      <c r="N78" s="12">
        <v>1</v>
      </c>
      <c r="P78" s="12">
        <v>1</v>
      </c>
    </row>
    <row r="79" spans="2:16" ht="12" customHeight="1">
      <c r="B79" s="9" t="s">
        <v>196</v>
      </c>
      <c r="C79" s="3">
        <f t="shared" si="5"/>
        <v>19</v>
      </c>
      <c r="D79" s="3">
        <v>1</v>
      </c>
      <c r="E79" s="3">
        <v>18</v>
      </c>
      <c r="G79" s="3">
        <v>1</v>
      </c>
      <c r="L79" s="3">
        <f t="shared" si="6"/>
        <v>14</v>
      </c>
      <c r="N79" s="3">
        <v>5</v>
      </c>
      <c r="P79" s="3">
        <v>5</v>
      </c>
    </row>
    <row r="80" spans="2:16" ht="12" customHeight="1">
      <c r="B80" s="9" t="s">
        <v>197</v>
      </c>
      <c r="C80" s="3">
        <f t="shared" si="5"/>
        <v>35</v>
      </c>
      <c r="D80" s="3">
        <v>8</v>
      </c>
      <c r="E80" s="3">
        <v>27</v>
      </c>
      <c r="I80" s="3">
        <v>2</v>
      </c>
      <c r="L80" s="3">
        <f t="shared" si="6"/>
        <v>12</v>
      </c>
      <c r="N80" s="3">
        <f>5+18</f>
        <v>23</v>
      </c>
      <c r="P80" s="3">
        <v>17</v>
      </c>
    </row>
    <row r="81" spans="2:16" ht="12" customHeight="1">
      <c r="B81" s="9" t="s">
        <v>101</v>
      </c>
      <c r="C81" s="3">
        <f t="shared" si="5"/>
        <v>17</v>
      </c>
      <c r="D81" s="3">
        <v>9</v>
      </c>
      <c r="E81" s="3">
        <v>8</v>
      </c>
      <c r="I81" s="3">
        <v>1</v>
      </c>
      <c r="L81" s="3">
        <f t="shared" si="6"/>
        <v>4</v>
      </c>
      <c r="N81" s="3">
        <v>13</v>
      </c>
      <c r="P81" s="3">
        <v>12</v>
      </c>
    </row>
    <row r="82" spans="2:16" ht="12" customHeight="1">
      <c r="B82" s="9" t="s">
        <v>103</v>
      </c>
      <c r="C82" s="3">
        <f t="shared" si="5"/>
        <v>110</v>
      </c>
      <c r="D82" s="3">
        <v>28</v>
      </c>
      <c r="E82" s="3">
        <v>82</v>
      </c>
      <c r="H82" s="3">
        <v>3</v>
      </c>
      <c r="I82" s="3">
        <v>1</v>
      </c>
      <c r="J82" s="3">
        <v>5</v>
      </c>
      <c r="L82" s="3">
        <f t="shared" si="6"/>
        <v>56</v>
      </c>
      <c r="N82" s="3">
        <f>15+39</f>
        <v>54</v>
      </c>
      <c r="P82" s="3">
        <f>2+19</f>
        <v>21</v>
      </c>
    </row>
    <row r="83" spans="2:16" ht="12" customHeight="1">
      <c r="B83" s="9" t="s">
        <v>106</v>
      </c>
      <c r="C83" s="3">
        <f t="shared" si="5"/>
        <v>29</v>
      </c>
      <c r="D83" s="3">
        <v>1</v>
      </c>
      <c r="E83" s="3">
        <v>28</v>
      </c>
      <c r="H83" s="3">
        <v>2</v>
      </c>
      <c r="I83" s="3">
        <v>1</v>
      </c>
      <c r="L83" s="3">
        <f t="shared" si="6"/>
        <v>6</v>
      </c>
      <c r="N83" s="3">
        <v>23</v>
      </c>
      <c r="P83" s="3">
        <v>15</v>
      </c>
    </row>
    <row r="85" spans="1:16" ht="12.75">
      <c r="A85" s="9" t="s">
        <v>5</v>
      </c>
      <c r="C85" s="3">
        <f>SUM(C78:C83)</f>
        <v>228</v>
      </c>
      <c r="D85" s="3">
        <f>SUM(D78:D83)</f>
        <v>48</v>
      </c>
      <c r="E85" s="3">
        <f>SUM(E78:E83)</f>
        <v>180</v>
      </c>
      <c r="G85" s="3">
        <f>SUM(G78:G83)</f>
        <v>1</v>
      </c>
      <c r="H85" s="3">
        <f>SUM(H78:H83)</f>
        <v>5</v>
      </c>
      <c r="I85" s="3">
        <f>SUM(I78:I83)</f>
        <v>5</v>
      </c>
      <c r="J85" s="3">
        <f>SUM(J78:J83)</f>
        <v>5</v>
      </c>
      <c r="L85" s="3">
        <f>SUM(L78:L83)</f>
        <v>109</v>
      </c>
      <c r="N85" s="3">
        <f>SUM(N78:N83)</f>
        <v>119</v>
      </c>
      <c r="P85" s="3">
        <f>SUM(P78:P83)</f>
        <v>71</v>
      </c>
    </row>
    <row r="88" spans="8:16" ht="12.75">
      <c r="H88" s="4" t="s">
        <v>1</v>
      </c>
      <c r="N88" s="5" t="s">
        <v>2</v>
      </c>
      <c r="P88" s="5" t="s">
        <v>3</v>
      </c>
    </row>
    <row r="89" spans="1:16" ht="12.75">
      <c r="A89" s="4" t="s">
        <v>107</v>
      </c>
      <c r="B89" s="6"/>
      <c r="C89" s="7" t="s">
        <v>5</v>
      </c>
      <c r="D89" s="7" t="s">
        <v>6</v>
      </c>
      <c r="E89" s="7" t="s">
        <v>7</v>
      </c>
      <c r="F89" s="6"/>
      <c r="G89" s="7" t="s">
        <v>8</v>
      </c>
      <c r="H89" s="7" t="s">
        <v>9</v>
      </c>
      <c r="I89" s="7" t="s">
        <v>10</v>
      </c>
      <c r="J89" s="7" t="s">
        <v>11</v>
      </c>
      <c r="K89" s="6"/>
      <c r="L89" s="8" t="s">
        <v>12</v>
      </c>
      <c r="M89" s="6"/>
      <c r="N89" s="8" t="s">
        <v>13</v>
      </c>
      <c r="O89" s="6"/>
      <c r="P89" s="8" t="s">
        <v>14</v>
      </c>
    </row>
    <row r="90" spans="2:14" ht="12" customHeight="1">
      <c r="B90" s="9" t="s">
        <v>112</v>
      </c>
      <c r="C90" s="3">
        <f aca="true" t="shared" si="7" ref="C90:C107">D90+E90</f>
        <v>16</v>
      </c>
      <c r="D90" s="3">
        <v>7</v>
      </c>
      <c r="E90" s="3">
        <v>9</v>
      </c>
      <c r="G90" s="3">
        <v>1</v>
      </c>
      <c r="H90" s="3">
        <v>1</v>
      </c>
      <c r="I90" s="3">
        <v>1</v>
      </c>
      <c r="L90" s="3">
        <f aca="true" t="shared" si="8" ref="L90:L107">(C90-N90)</f>
        <v>13</v>
      </c>
      <c r="N90" s="3">
        <v>3</v>
      </c>
    </row>
    <row r="91" spans="2:5" ht="12" customHeight="1">
      <c r="B91" s="9" t="s">
        <v>167</v>
      </c>
      <c r="C91" s="3">
        <f t="shared" si="7"/>
        <v>0</v>
      </c>
      <c r="D91" s="3">
        <v>0</v>
      </c>
      <c r="E91" s="3">
        <v>0</v>
      </c>
    </row>
    <row r="92" spans="2:16" ht="12" customHeight="1">
      <c r="B92" s="9" t="s">
        <v>198</v>
      </c>
      <c r="C92" s="3">
        <f t="shared" si="7"/>
        <v>38</v>
      </c>
      <c r="D92" s="3">
        <f>18+6</f>
        <v>24</v>
      </c>
      <c r="E92" s="3">
        <v>14</v>
      </c>
      <c r="H92" s="3">
        <v>1</v>
      </c>
      <c r="I92" s="3">
        <v>1</v>
      </c>
      <c r="L92" s="3">
        <f t="shared" si="8"/>
        <v>12</v>
      </c>
      <c r="N92" s="3">
        <f>14+12</f>
        <v>26</v>
      </c>
      <c r="P92" s="3">
        <v>18</v>
      </c>
    </row>
    <row r="93" spans="2:16" ht="12" customHeight="1">
      <c r="B93" s="9" t="s">
        <v>199</v>
      </c>
      <c r="C93" s="3">
        <f t="shared" si="7"/>
        <v>43</v>
      </c>
      <c r="D93" s="3">
        <f>16+4</f>
        <v>20</v>
      </c>
      <c r="E93" s="3">
        <v>23</v>
      </c>
      <c r="I93" s="3">
        <v>1</v>
      </c>
      <c r="L93" s="3">
        <f t="shared" si="8"/>
        <v>18</v>
      </c>
      <c r="N93" s="3">
        <f>11+14</f>
        <v>25</v>
      </c>
      <c r="P93" s="3">
        <v>8</v>
      </c>
    </row>
    <row r="94" spans="2:16" ht="12" customHeight="1">
      <c r="B94" s="9" t="s">
        <v>118</v>
      </c>
      <c r="C94" s="3">
        <f t="shared" si="7"/>
        <v>193</v>
      </c>
      <c r="D94" s="3">
        <f>122+21</f>
        <v>143</v>
      </c>
      <c r="E94" s="3">
        <v>50</v>
      </c>
      <c r="I94" s="3">
        <v>3</v>
      </c>
      <c r="J94" s="3">
        <v>2</v>
      </c>
      <c r="L94" s="3">
        <f t="shared" si="8"/>
        <v>32</v>
      </c>
      <c r="N94" s="3">
        <f>115+46</f>
        <v>161</v>
      </c>
      <c r="P94" s="3">
        <f>64+32</f>
        <v>96</v>
      </c>
    </row>
    <row r="95" spans="2:16" ht="12" customHeight="1">
      <c r="B95" s="9" t="s">
        <v>119</v>
      </c>
      <c r="C95" s="3">
        <f t="shared" si="7"/>
        <v>103</v>
      </c>
      <c r="D95" s="3">
        <v>74</v>
      </c>
      <c r="E95" s="3">
        <v>29</v>
      </c>
      <c r="I95" s="3">
        <v>1</v>
      </c>
      <c r="L95" s="3">
        <f t="shared" si="8"/>
        <v>12</v>
      </c>
      <c r="N95" s="3">
        <f>64+27</f>
        <v>91</v>
      </c>
      <c r="P95" s="3">
        <f>63+26</f>
        <v>89</v>
      </c>
    </row>
    <row r="96" spans="2:16" ht="12" customHeight="1">
      <c r="B96" s="9" t="s">
        <v>200</v>
      </c>
      <c r="C96" s="3">
        <f t="shared" si="7"/>
        <v>79</v>
      </c>
      <c r="D96" s="3">
        <v>61</v>
      </c>
      <c r="E96" s="3">
        <v>18</v>
      </c>
      <c r="I96" s="3">
        <v>1</v>
      </c>
      <c r="L96" s="3">
        <f t="shared" si="8"/>
        <v>9</v>
      </c>
      <c r="N96" s="3">
        <f>52+18</f>
        <v>70</v>
      </c>
      <c r="P96" s="3">
        <f>47+17</f>
        <v>64</v>
      </c>
    </row>
    <row r="97" spans="2:16" ht="12" customHeight="1">
      <c r="B97" s="9" t="s">
        <v>122</v>
      </c>
      <c r="C97" s="3">
        <f t="shared" si="7"/>
        <v>112</v>
      </c>
      <c r="D97" s="3">
        <v>49</v>
      </c>
      <c r="E97" s="3">
        <v>63</v>
      </c>
      <c r="H97" s="3">
        <v>3</v>
      </c>
      <c r="I97" s="3">
        <v>2</v>
      </c>
      <c r="J97" s="3">
        <v>2</v>
      </c>
      <c r="L97" s="3">
        <f t="shared" si="8"/>
        <v>54</v>
      </c>
      <c r="N97" s="3">
        <f>26+32</f>
        <v>58</v>
      </c>
      <c r="P97" s="3">
        <v>9</v>
      </c>
    </row>
    <row r="98" spans="2:16" ht="12" customHeight="1">
      <c r="B98" s="9" t="s">
        <v>201</v>
      </c>
      <c r="C98" s="3">
        <f t="shared" si="7"/>
        <v>37</v>
      </c>
      <c r="D98" s="3">
        <v>19</v>
      </c>
      <c r="E98" s="3">
        <v>18</v>
      </c>
      <c r="G98" s="3">
        <v>1</v>
      </c>
      <c r="L98" s="3">
        <f t="shared" si="8"/>
        <v>15</v>
      </c>
      <c r="N98" s="3">
        <f>9+13</f>
        <v>22</v>
      </c>
      <c r="P98" s="3">
        <v>11</v>
      </c>
    </row>
    <row r="99" spans="2:16" ht="12" customHeight="1">
      <c r="B99" s="9" t="s">
        <v>129</v>
      </c>
      <c r="C99" s="3">
        <f t="shared" si="7"/>
        <v>44</v>
      </c>
      <c r="D99" s="3">
        <v>25</v>
      </c>
      <c r="E99" s="3">
        <v>19</v>
      </c>
      <c r="I99" s="3">
        <v>1</v>
      </c>
      <c r="J99" s="3">
        <v>1</v>
      </c>
      <c r="L99" s="3">
        <f t="shared" si="8"/>
        <v>36</v>
      </c>
      <c r="N99" s="3">
        <v>8</v>
      </c>
      <c r="P99" s="3">
        <v>1</v>
      </c>
    </row>
    <row r="100" spans="2:16" ht="12" customHeight="1">
      <c r="B100" s="9" t="s">
        <v>131</v>
      </c>
      <c r="C100" s="3">
        <f t="shared" si="7"/>
        <v>18</v>
      </c>
      <c r="D100" s="3">
        <v>6</v>
      </c>
      <c r="E100" s="3">
        <v>12</v>
      </c>
      <c r="H100" s="3">
        <v>2</v>
      </c>
      <c r="L100" s="3">
        <f t="shared" si="8"/>
        <v>7</v>
      </c>
      <c r="N100" s="3">
        <v>11</v>
      </c>
      <c r="P100" s="3">
        <v>9</v>
      </c>
    </row>
    <row r="101" spans="2:16" ht="12" customHeight="1">
      <c r="B101" s="9" t="s">
        <v>134</v>
      </c>
      <c r="C101" s="3">
        <f t="shared" si="7"/>
        <v>53</v>
      </c>
      <c r="D101" s="3">
        <v>33</v>
      </c>
      <c r="E101" s="3">
        <v>20</v>
      </c>
      <c r="I101" s="3">
        <v>2</v>
      </c>
      <c r="J101" s="3">
        <v>1</v>
      </c>
      <c r="L101" s="3">
        <f t="shared" si="8"/>
        <v>11</v>
      </c>
      <c r="N101" s="3">
        <f>29+13</f>
        <v>42</v>
      </c>
      <c r="P101" s="3">
        <v>27</v>
      </c>
    </row>
    <row r="102" spans="2:16" ht="12" customHeight="1">
      <c r="B102" s="9" t="s">
        <v>202</v>
      </c>
      <c r="C102" s="3">
        <f t="shared" si="7"/>
        <v>84</v>
      </c>
      <c r="D102" s="3">
        <v>72</v>
      </c>
      <c r="E102" s="3">
        <v>12</v>
      </c>
      <c r="I102" s="3">
        <v>1</v>
      </c>
      <c r="L102" s="3">
        <f t="shared" si="8"/>
        <v>13</v>
      </c>
      <c r="N102" s="3">
        <f>60+11</f>
        <v>71</v>
      </c>
      <c r="P102" s="3">
        <f>44+8</f>
        <v>52</v>
      </c>
    </row>
    <row r="103" spans="2:16" ht="12" customHeight="1">
      <c r="B103" s="9" t="s">
        <v>141</v>
      </c>
      <c r="C103" s="3">
        <f t="shared" si="7"/>
        <v>29</v>
      </c>
      <c r="D103" s="3">
        <v>14</v>
      </c>
      <c r="E103" s="3">
        <v>15</v>
      </c>
      <c r="I103" s="3">
        <v>1</v>
      </c>
      <c r="L103" s="3">
        <f t="shared" si="8"/>
        <v>19</v>
      </c>
      <c r="N103" s="3">
        <v>10</v>
      </c>
      <c r="P103" s="3">
        <v>8</v>
      </c>
    </row>
    <row r="104" spans="2:16" ht="12" customHeight="1">
      <c r="B104" s="9" t="s">
        <v>148</v>
      </c>
      <c r="C104" s="3">
        <f t="shared" si="7"/>
        <v>52</v>
      </c>
      <c r="D104" s="3">
        <v>15</v>
      </c>
      <c r="E104" s="3">
        <v>37</v>
      </c>
      <c r="H104" s="3">
        <v>3</v>
      </c>
      <c r="J104" s="3">
        <v>2</v>
      </c>
      <c r="L104" s="3">
        <f t="shared" si="8"/>
        <v>23</v>
      </c>
      <c r="N104" s="3">
        <v>29</v>
      </c>
      <c r="P104" s="3">
        <v>1</v>
      </c>
    </row>
    <row r="105" spans="2:16" ht="12" customHeight="1">
      <c r="B105" s="9" t="s">
        <v>203</v>
      </c>
      <c r="C105" s="3">
        <f t="shared" si="7"/>
        <v>42</v>
      </c>
      <c r="D105" s="3">
        <v>17</v>
      </c>
      <c r="E105" s="3">
        <v>25</v>
      </c>
      <c r="G105" s="3">
        <v>2</v>
      </c>
      <c r="H105" s="3">
        <v>4</v>
      </c>
      <c r="J105" s="3">
        <v>1</v>
      </c>
      <c r="L105" s="3">
        <f t="shared" si="8"/>
        <v>19</v>
      </c>
      <c r="N105" s="3">
        <v>23</v>
      </c>
      <c r="P105" s="3">
        <v>8</v>
      </c>
    </row>
    <row r="106" spans="2:16" ht="12" customHeight="1">
      <c r="B106" s="9" t="s">
        <v>154</v>
      </c>
      <c r="C106" s="3">
        <f t="shared" si="7"/>
        <v>103</v>
      </c>
      <c r="D106" s="3">
        <v>58</v>
      </c>
      <c r="E106" s="3">
        <v>45</v>
      </c>
      <c r="I106" s="3">
        <v>2</v>
      </c>
      <c r="J106" s="3">
        <v>1</v>
      </c>
      <c r="L106" s="3">
        <f t="shared" si="8"/>
        <v>8</v>
      </c>
      <c r="N106" s="3">
        <f>52+43</f>
        <v>95</v>
      </c>
      <c r="P106" s="3">
        <f>29+31</f>
        <v>60</v>
      </c>
    </row>
    <row r="107" spans="2:16" ht="12" customHeight="1">
      <c r="B107" s="9" t="s">
        <v>204</v>
      </c>
      <c r="C107" s="3">
        <f t="shared" si="7"/>
        <v>46</v>
      </c>
      <c r="D107" s="3">
        <v>27</v>
      </c>
      <c r="E107" s="3">
        <v>19</v>
      </c>
      <c r="H107" s="3">
        <v>2</v>
      </c>
      <c r="L107" s="3">
        <f t="shared" si="8"/>
        <v>14</v>
      </c>
      <c r="N107" s="3">
        <f>20+12</f>
        <v>32</v>
      </c>
      <c r="P107" s="3">
        <v>19</v>
      </c>
    </row>
    <row r="109" spans="1:16" ht="12.75">
      <c r="A109" s="9" t="s">
        <v>5</v>
      </c>
      <c r="C109" s="3">
        <f>SUM(C90:C107)</f>
        <v>1092</v>
      </c>
      <c r="D109" s="3">
        <f>SUM(D90:D107)</f>
        <v>664</v>
      </c>
      <c r="E109" s="3">
        <f>SUM(E90:E107)</f>
        <v>428</v>
      </c>
      <c r="G109" s="3">
        <f>SUM(G90:G107)</f>
        <v>4</v>
      </c>
      <c r="H109" s="3">
        <f>SUM(H90:H107)</f>
        <v>16</v>
      </c>
      <c r="I109" s="3">
        <f>SUM(I90:I107)</f>
        <v>17</v>
      </c>
      <c r="J109" s="3">
        <f>SUM(J90:J107)</f>
        <v>10</v>
      </c>
      <c r="L109" s="3">
        <f>SUM(L90:L107)</f>
        <v>315</v>
      </c>
      <c r="N109" s="3">
        <f>SUM(N90:N107)</f>
        <v>777</v>
      </c>
      <c r="P109" s="3">
        <f>SUM(P90:P107)</f>
        <v>480</v>
      </c>
    </row>
    <row r="111" spans="1:17" ht="15.75">
      <c r="A111" s="1" t="s">
        <v>169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4" spans="8:16" ht="12.75">
      <c r="H114" s="4" t="s">
        <v>1</v>
      </c>
      <c r="N114" s="5" t="s">
        <v>2</v>
      </c>
      <c r="P114" s="5" t="s">
        <v>3</v>
      </c>
    </row>
    <row r="115" spans="1:16" ht="12.75">
      <c r="A115" s="4" t="s">
        <v>157</v>
      </c>
      <c r="B115" s="6"/>
      <c r="C115" s="7" t="s">
        <v>5</v>
      </c>
      <c r="D115" s="7" t="s">
        <v>6</v>
      </c>
      <c r="E115" s="7" t="s">
        <v>7</v>
      </c>
      <c r="F115" s="6"/>
      <c r="G115" s="7" t="s">
        <v>8</v>
      </c>
      <c r="H115" s="7" t="s">
        <v>9</v>
      </c>
      <c r="I115" s="7" t="s">
        <v>10</v>
      </c>
      <c r="J115" s="7" t="s">
        <v>11</v>
      </c>
      <c r="K115" s="6"/>
      <c r="L115" s="8" t="s">
        <v>12</v>
      </c>
      <c r="M115" s="6"/>
      <c r="N115" s="8" t="s">
        <v>13</v>
      </c>
      <c r="O115" s="6"/>
      <c r="P115" s="8" t="s">
        <v>14</v>
      </c>
    </row>
    <row r="116" spans="2:16" ht="12" customHeight="1">
      <c r="B116" s="9" t="s">
        <v>205</v>
      </c>
      <c r="C116" s="3">
        <f>D116+E116</f>
        <v>21</v>
      </c>
      <c r="D116" s="3">
        <v>10</v>
      </c>
      <c r="E116" s="3">
        <v>11</v>
      </c>
      <c r="I116" s="3">
        <v>1</v>
      </c>
      <c r="L116" s="3">
        <f>(C116-N116)</f>
        <v>5</v>
      </c>
      <c r="N116" s="3">
        <v>16</v>
      </c>
      <c r="P116" s="3">
        <v>15</v>
      </c>
    </row>
    <row r="117" spans="2:16" ht="12" customHeight="1">
      <c r="B117" s="9" t="s">
        <v>206</v>
      </c>
      <c r="C117" s="3">
        <f>D117+E117</f>
        <v>3</v>
      </c>
      <c r="D117" s="3">
        <v>1</v>
      </c>
      <c r="E117" s="3">
        <v>2</v>
      </c>
      <c r="L117" s="3">
        <f>(C117-N117)</f>
        <v>1</v>
      </c>
      <c r="N117" s="3">
        <v>2</v>
      </c>
      <c r="P117" s="3">
        <v>2</v>
      </c>
    </row>
    <row r="118" spans="2:14" ht="12" customHeight="1">
      <c r="B118" s="9" t="s">
        <v>207</v>
      </c>
      <c r="C118" s="3">
        <f>D118+E118</f>
        <v>2</v>
      </c>
      <c r="D118" s="3">
        <v>2</v>
      </c>
      <c r="E118" s="3">
        <v>0</v>
      </c>
      <c r="L118" s="3">
        <f>(C118-N118)</f>
        <v>2</v>
      </c>
      <c r="N118" s="3">
        <v>0</v>
      </c>
    </row>
    <row r="119" spans="2:16" ht="12" customHeight="1">
      <c r="B119" s="9" t="s">
        <v>208</v>
      </c>
      <c r="C119" s="3">
        <f>D119+E119</f>
        <v>38</v>
      </c>
      <c r="D119" s="3">
        <v>20</v>
      </c>
      <c r="E119" s="3">
        <v>18</v>
      </c>
      <c r="H119" s="3">
        <v>2</v>
      </c>
      <c r="I119" s="3">
        <v>2</v>
      </c>
      <c r="J119" s="3">
        <v>2</v>
      </c>
      <c r="L119" s="3">
        <f>(C119-N119)</f>
        <v>22</v>
      </c>
      <c r="N119" s="3">
        <v>16</v>
      </c>
      <c r="P119" s="3">
        <v>9</v>
      </c>
    </row>
    <row r="120" spans="2:16" ht="12" customHeight="1">
      <c r="B120" s="9" t="s">
        <v>209</v>
      </c>
      <c r="C120" s="3">
        <f>D120+E120</f>
        <v>21</v>
      </c>
      <c r="D120" s="3">
        <v>15</v>
      </c>
      <c r="E120" s="3">
        <v>6</v>
      </c>
      <c r="L120" s="3">
        <f>(C120-N120)</f>
        <v>13</v>
      </c>
      <c r="N120" s="3">
        <v>8</v>
      </c>
      <c r="P120" s="3">
        <v>6</v>
      </c>
    </row>
    <row r="122" spans="1:16" ht="12.75">
      <c r="A122" s="9" t="s">
        <v>5</v>
      </c>
      <c r="C122" s="3">
        <f>SUM(C116:C120)</f>
        <v>85</v>
      </c>
      <c r="D122" s="3">
        <f>SUM(D116:D120)</f>
        <v>48</v>
      </c>
      <c r="E122" s="3">
        <f>SUM(E116:E120)</f>
        <v>37</v>
      </c>
      <c r="G122" s="3">
        <f>SUM(G116:G120)</f>
        <v>0</v>
      </c>
      <c r="H122" s="3">
        <f>SUM(H116:H120)</f>
        <v>2</v>
      </c>
      <c r="I122" s="3">
        <f>SUM(I116:I120)</f>
        <v>3</v>
      </c>
      <c r="J122" s="3">
        <f>SUM(J116:J120)</f>
        <v>2</v>
      </c>
      <c r="L122" s="3">
        <f>SUM(L116:L120)</f>
        <v>43</v>
      </c>
      <c r="N122" s="3">
        <f>SUM(N116:N120)</f>
        <v>42</v>
      </c>
      <c r="P122" s="3">
        <f>SUM(P116:P120)</f>
        <v>32</v>
      </c>
    </row>
    <row r="126" spans="1:16" ht="12.75">
      <c r="A126" s="9" t="s">
        <v>210</v>
      </c>
      <c r="H126" s="4" t="s">
        <v>1</v>
      </c>
      <c r="N126" s="5" t="s">
        <v>2</v>
      </c>
      <c r="P126" s="5" t="s">
        <v>3</v>
      </c>
    </row>
    <row r="127" spans="1:16" ht="12.75">
      <c r="A127" s="4" t="s">
        <v>211</v>
      </c>
      <c r="B127" s="6"/>
      <c r="C127" s="7" t="s">
        <v>5</v>
      </c>
      <c r="D127" s="7" t="s">
        <v>6</v>
      </c>
      <c r="E127" s="7" t="s">
        <v>7</v>
      </c>
      <c r="F127" s="6"/>
      <c r="G127" s="7" t="s">
        <v>8</v>
      </c>
      <c r="H127" s="7" t="s">
        <v>9</v>
      </c>
      <c r="I127" s="7" t="s">
        <v>10</v>
      </c>
      <c r="J127" s="7" t="s">
        <v>11</v>
      </c>
      <c r="K127" s="6"/>
      <c r="L127" s="8" t="s">
        <v>12</v>
      </c>
      <c r="M127" s="6"/>
      <c r="N127" s="8" t="s">
        <v>13</v>
      </c>
      <c r="O127" s="6"/>
      <c r="P127" s="8" t="s">
        <v>14</v>
      </c>
    </row>
    <row r="128" spans="2:16" ht="12" customHeight="1">
      <c r="B128" s="9" t="s">
        <v>212</v>
      </c>
      <c r="C128" s="3">
        <f aca="true" t="shared" si="9" ref="C128:C137">D128+E128</f>
        <v>508</v>
      </c>
      <c r="D128" s="3">
        <f>249+1+40</f>
        <v>290</v>
      </c>
      <c r="E128" s="3">
        <f>208+10</f>
        <v>218</v>
      </c>
      <c r="H128" s="3">
        <v>16</v>
      </c>
      <c r="I128" s="3">
        <v>13</v>
      </c>
      <c r="J128" s="3">
        <v>6</v>
      </c>
      <c r="L128" s="3">
        <f aca="true" t="shared" si="10" ref="L128:L137">(C128-N128)</f>
        <v>380</v>
      </c>
      <c r="N128" s="3">
        <f>71+1+56</f>
        <v>128</v>
      </c>
      <c r="P128" s="3">
        <f>31+1+18</f>
        <v>50</v>
      </c>
    </row>
    <row r="129" spans="2:16" ht="12" customHeight="1">
      <c r="B129" s="9" t="s">
        <v>224</v>
      </c>
      <c r="C129" s="3">
        <f t="shared" si="9"/>
        <v>14</v>
      </c>
      <c r="D129" s="3">
        <v>10</v>
      </c>
      <c r="E129" s="3">
        <v>4</v>
      </c>
      <c r="L129" s="3">
        <f t="shared" si="10"/>
        <v>2</v>
      </c>
      <c r="N129" s="3">
        <v>12</v>
      </c>
      <c r="P129" s="3">
        <v>10</v>
      </c>
    </row>
    <row r="130" spans="2:16" ht="12" customHeight="1">
      <c r="B130" s="9" t="s">
        <v>213</v>
      </c>
      <c r="C130" s="3">
        <f t="shared" si="9"/>
        <v>4</v>
      </c>
      <c r="D130" s="3">
        <v>3</v>
      </c>
      <c r="E130" s="3">
        <v>1</v>
      </c>
      <c r="H130" s="3">
        <v>1</v>
      </c>
      <c r="J130" s="3">
        <v>1</v>
      </c>
      <c r="L130" s="3">
        <f t="shared" si="10"/>
        <v>3</v>
      </c>
      <c r="N130" s="3">
        <v>1</v>
      </c>
      <c r="P130" s="3">
        <v>1</v>
      </c>
    </row>
    <row r="131" spans="2:16" ht="12.75">
      <c r="B131" s="9" t="s">
        <v>214</v>
      </c>
      <c r="C131" s="3">
        <f t="shared" si="9"/>
        <v>31</v>
      </c>
      <c r="D131" s="3">
        <v>18</v>
      </c>
      <c r="E131" s="3">
        <v>13</v>
      </c>
      <c r="H131" s="3">
        <v>1</v>
      </c>
      <c r="L131" s="3">
        <f t="shared" si="10"/>
        <v>7</v>
      </c>
      <c r="N131" s="3">
        <v>24</v>
      </c>
      <c r="P131" s="3">
        <v>12</v>
      </c>
    </row>
    <row r="132" spans="2:16" ht="12.75">
      <c r="B132" s="9" t="s">
        <v>215</v>
      </c>
      <c r="C132" s="3">
        <f t="shared" si="9"/>
        <v>5</v>
      </c>
      <c r="D132" s="3">
        <v>2</v>
      </c>
      <c r="E132" s="3">
        <v>3</v>
      </c>
      <c r="L132" s="3">
        <f t="shared" si="10"/>
        <v>2</v>
      </c>
      <c r="N132" s="3">
        <v>3</v>
      </c>
      <c r="P132" s="3">
        <v>1</v>
      </c>
    </row>
    <row r="133" spans="2:16" ht="12" customHeight="1">
      <c r="B133" s="9" t="s">
        <v>216</v>
      </c>
      <c r="C133" s="3">
        <f t="shared" si="9"/>
        <v>13</v>
      </c>
      <c r="D133" s="3">
        <v>4</v>
      </c>
      <c r="E133" s="3">
        <v>9</v>
      </c>
      <c r="H133" s="3">
        <v>1</v>
      </c>
      <c r="L133" s="3">
        <f t="shared" si="10"/>
        <v>9</v>
      </c>
      <c r="N133" s="3">
        <v>4</v>
      </c>
      <c r="P133" s="3">
        <v>3</v>
      </c>
    </row>
    <row r="134" spans="2:16" ht="12" customHeight="1">
      <c r="B134" s="9" t="s">
        <v>217</v>
      </c>
      <c r="C134" s="3">
        <f t="shared" si="9"/>
        <v>47</v>
      </c>
      <c r="D134" s="3">
        <v>15</v>
      </c>
      <c r="E134" s="3">
        <v>32</v>
      </c>
      <c r="H134" s="3">
        <v>3</v>
      </c>
      <c r="I134" s="3">
        <v>1</v>
      </c>
      <c r="L134" s="3">
        <f t="shared" si="10"/>
        <v>35</v>
      </c>
      <c r="N134" s="3">
        <v>12</v>
      </c>
      <c r="P134" s="3">
        <v>5</v>
      </c>
    </row>
    <row r="135" spans="2:16" ht="12" customHeight="1">
      <c r="B135" s="9" t="s">
        <v>218</v>
      </c>
      <c r="C135" s="3">
        <f t="shared" si="9"/>
        <v>5</v>
      </c>
      <c r="D135" s="3">
        <v>3</v>
      </c>
      <c r="E135" s="3">
        <v>2</v>
      </c>
      <c r="L135" s="3">
        <f t="shared" si="10"/>
        <v>0</v>
      </c>
      <c r="N135" s="3">
        <v>5</v>
      </c>
      <c r="P135" s="3">
        <v>5</v>
      </c>
    </row>
    <row r="136" spans="2:16" ht="12" customHeight="1">
      <c r="B136" s="9" t="s">
        <v>219</v>
      </c>
      <c r="C136" s="3">
        <f t="shared" si="9"/>
        <v>9</v>
      </c>
      <c r="D136" s="3">
        <v>4</v>
      </c>
      <c r="E136" s="3">
        <v>5</v>
      </c>
      <c r="I136" s="3">
        <v>1</v>
      </c>
      <c r="L136" s="3">
        <f t="shared" si="10"/>
        <v>2</v>
      </c>
      <c r="N136" s="3">
        <v>7</v>
      </c>
      <c r="P136" s="3">
        <v>7</v>
      </c>
    </row>
    <row r="137" spans="2:16" ht="12" customHeight="1">
      <c r="B137" s="9" t="s">
        <v>220</v>
      </c>
      <c r="C137" s="3">
        <f t="shared" si="9"/>
        <v>9</v>
      </c>
      <c r="D137" s="3">
        <v>5</v>
      </c>
      <c r="E137" s="3">
        <v>4</v>
      </c>
      <c r="L137" s="3">
        <f t="shared" si="10"/>
        <v>2</v>
      </c>
      <c r="N137" s="3">
        <v>7</v>
      </c>
      <c r="P137" s="3">
        <v>4</v>
      </c>
    </row>
    <row r="139" spans="1:16" ht="12.75">
      <c r="A139" s="9" t="s">
        <v>5</v>
      </c>
      <c r="C139" s="3">
        <f>SUM(C128:C137)</f>
        <v>645</v>
      </c>
      <c r="D139" s="3">
        <f>SUM(D128:D137)</f>
        <v>354</v>
      </c>
      <c r="E139" s="3">
        <f>SUM(E128:E137)</f>
        <v>291</v>
      </c>
      <c r="G139" s="3">
        <f>SUM(G128:G137)</f>
        <v>0</v>
      </c>
      <c r="H139" s="3">
        <f>SUM(H128:H137)</f>
        <v>22</v>
      </c>
      <c r="I139" s="3">
        <f>SUM(I128:I137)</f>
        <v>15</v>
      </c>
      <c r="J139" s="3">
        <f>SUM(J128:J137)</f>
        <v>7</v>
      </c>
      <c r="L139" s="3">
        <f>SUM(L128:L137)</f>
        <v>442</v>
      </c>
      <c r="N139" s="3">
        <f>SUM(N128:N137)</f>
        <v>203</v>
      </c>
      <c r="P139" s="3">
        <f>SUM(P128:P137)</f>
        <v>98</v>
      </c>
    </row>
    <row r="140" ht="12.75">
      <c r="H140" s="6"/>
    </row>
    <row r="141" ht="12.75">
      <c r="H141" s="6"/>
    </row>
    <row r="142" ht="12.75">
      <c r="H142" s="6"/>
    </row>
    <row r="143" spans="8:16" ht="12.75">
      <c r="H143" s="4" t="s">
        <v>1</v>
      </c>
      <c r="N143" s="5" t="s">
        <v>2</v>
      </c>
      <c r="P143" s="5" t="s">
        <v>3</v>
      </c>
    </row>
    <row r="144" spans="3:16" ht="12.75">
      <c r="C144" s="7" t="s">
        <v>5</v>
      </c>
      <c r="D144" s="7" t="s">
        <v>6</v>
      </c>
      <c r="E144" s="7" t="s">
        <v>7</v>
      </c>
      <c r="F144" s="6"/>
      <c r="G144" s="7" t="s">
        <v>8</v>
      </c>
      <c r="H144" s="7" t="s">
        <v>9</v>
      </c>
      <c r="I144" s="7" t="s">
        <v>10</v>
      </c>
      <c r="J144" s="7" t="s">
        <v>11</v>
      </c>
      <c r="K144" s="6"/>
      <c r="L144" s="8" t="s">
        <v>12</v>
      </c>
      <c r="M144" s="6"/>
      <c r="N144" s="8" t="s">
        <v>13</v>
      </c>
      <c r="O144" s="6"/>
      <c r="P144" s="8" t="s">
        <v>14</v>
      </c>
    </row>
    <row r="146" spans="1:16" ht="12.75">
      <c r="A146" s="9" t="s">
        <v>222</v>
      </c>
      <c r="C146" s="3">
        <f>C24+C33+C44+C55+C72+C85+C109+C122+C139</f>
        <v>4364</v>
      </c>
      <c r="D146" s="3">
        <f>D24+D33+D44+D55+D72+D85+D109+D122+D139</f>
        <v>2599</v>
      </c>
      <c r="E146" s="3">
        <f>E24+E33+E44+E55+E72+E85+E109+E122+E139</f>
        <v>1765</v>
      </c>
      <c r="G146" s="3">
        <f>G24+G33+G44+G55+G72+G85+G109+G122+G139</f>
        <v>8</v>
      </c>
      <c r="H146" s="3">
        <f>H24+H33+H44+H55+H72+H85+H109+H122+H139</f>
        <v>111</v>
      </c>
      <c r="I146" s="3">
        <f>I24+I33+I44+I55+I72+I85+I109+I122+I139</f>
        <v>62</v>
      </c>
      <c r="J146" s="3">
        <f>J24+J33+J44+J55+J72+J85+J109+J122+J139</f>
        <v>55</v>
      </c>
      <c r="L146" s="3">
        <f>L24+L33+L44+L55+L72+L85+L109+L122+L139</f>
        <v>2086</v>
      </c>
      <c r="N146" s="3">
        <f>N24+N33+N44+N55+N72+N85+N109+N122+N139</f>
        <v>2278</v>
      </c>
      <c r="O146" s="3" t="s">
        <v>225</v>
      </c>
      <c r="P146" s="3">
        <f>P24+P33+P44+P55+P72+P85+P109+P122+P139</f>
        <v>1466</v>
      </c>
    </row>
    <row r="153" ht="12.75">
      <c r="A153" s="9" t="s">
        <v>223</v>
      </c>
    </row>
    <row r="154" ht="12.75">
      <c r="B154" s="9" t="s">
        <v>162</v>
      </c>
    </row>
    <row r="155" ht="12.75">
      <c r="B155" s="9" t="s">
        <v>163</v>
      </c>
    </row>
    <row r="156" ht="12.75">
      <c r="B156" s="9" t="s">
        <v>164</v>
      </c>
    </row>
    <row r="157" ht="12.75">
      <c r="B157" s="9" t="s">
        <v>165</v>
      </c>
    </row>
    <row r="159" ht="12.75">
      <c r="A159" s="9" t="s">
        <v>166</v>
      </c>
    </row>
  </sheetData>
  <mergeCells count="1">
    <mergeCell ref="A57:Q57"/>
  </mergeCells>
  <printOptions horizontalCentered="1"/>
  <pageMargins left="0.5" right="0.5" top="0.75" bottom="0.5" header="0.5" footer="0.5"/>
  <pageSetup fitToHeight="0" horizontalDpi="300" verticalDpi="300" orientation="portrait" scale="95" r:id="rId1"/>
  <rowBreaks count="2" manualBreakCount="2">
    <brk id="56" max="16" man="1"/>
    <brk id="11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H02676</dc:creator>
  <cp:keywords/>
  <dc:description/>
  <cp:lastModifiedBy>Microsoft Office</cp:lastModifiedBy>
  <cp:lastPrinted>2001-01-18T19:19:04Z</cp:lastPrinted>
  <dcterms:created xsi:type="dcterms:W3CDTF">1999-09-01T19:18:26Z</dcterms:created>
  <dcterms:modified xsi:type="dcterms:W3CDTF">2001-09-19T14:15:20Z</dcterms:modified>
  <cp:category/>
  <cp:version/>
  <cp:contentType/>
  <cp:contentStatus/>
</cp:coreProperties>
</file>