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5265" activeTab="0"/>
  </bookViews>
  <sheets>
    <sheet name="Undergrads" sheetId="1" r:id="rId1"/>
    <sheet name="Grads" sheetId="2" r:id="rId2"/>
  </sheets>
  <definedNames>
    <definedName name="_xlnm.Print_Area" localSheetId="1">'Grads'!$A$1:$Q$170</definedName>
    <definedName name="_xlnm.Print_Area" localSheetId="0">'Undergrads'!$A$1:$Q$245</definedName>
  </definedNames>
  <calcPr fullCalcOnLoad="1"/>
</workbook>
</file>

<file path=xl/sharedStrings.xml><?xml version="1.0" encoding="utf-8"?>
<sst xmlns="http://schemas.openxmlformats.org/spreadsheetml/2006/main" count="527" uniqueCount="232">
  <si>
    <t>UNDERGRADUATES</t>
  </si>
  <si>
    <t>Minorities*</t>
  </si>
  <si>
    <t>Non-</t>
  </si>
  <si>
    <t>Inter-</t>
  </si>
  <si>
    <t>College of Agriculture</t>
  </si>
  <si>
    <t>Total</t>
  </si>
  <si>
    <t>Male</t>
  </si>
  <si>
    <t>Female</t>
  </si>
  <si>
    <t>1</t>
  </si>
  <si>
    <t>2</t>
  </si>
  <si>
    <t>4</t>
  </si>
  <si>
    <t>6</t>
  </si>
  <si>
    <t>Resident</t>
  </si>
  <si>
    <t>resident</t>
  </si>
  <si>
    <t>national**</t>
  </si>
  <si>
    <t>Agriculture - Special</t>
  </si>
  <si>
    <t>Agriculture - Undeclared</t>
  </si>
  <si>
    <t>Agricultural Biochemistry</t>
  </si>
  <si>
    <t>Agricultural Business</t>
  </si>
  <si>
    <t>Agricultural Education</t>
  </si>
  <si>
    <t>Agricultural Studies</t>
  </si>
  <si>
    <t>Agricultural Systems Technology</t>
  </si>
  <si>
    <t>Agronomy</t>
  </si>
  <si>
    <t>Animal Ecology</t>
  </si>
  <si>
    <t>Animal Science</t>
  </si>
  <si>
    <t>Animal Science (Pre-Vet)</t>
  </si>
  <si>
    <t>Dairy Science</t>
  </si>
  <si>
    <t>Dairy Science (Pre-Vet)</t>
  </si>
  <si>
    <t>Dietetics (See also FCS)</t>
  </si>
  <si>
    <t>Entomology</t>
  </si>
  <si>
    <t>Environmental Sciences (Ag)</t>
  </si>
  <si>
    <t>Food Science (See also FCS)</t>
  </si>
  <si>
    <t>Forestry</t>
  </si>
  <si>
    <t>General Preveterinary Medicine</t>
  </si>
  <si>
    <t>Genetics (See also LAS)</t>
  </si>
  <si>
    <t>Horticulture</t>
  </si>
  <si>
    <t>Microbiology</t>
  </si>
  <si>
    <t>Nutritional Science (See also FCS)</t>
  </si>
  <si>
    <t>Plant Health &amp; Protection</t>
  </si>
  <si>
    <t>Professional Agriculture</t>
  </si>
  <si>
    <t>Public Service &amp; Admin. in Agriculture</t>
  </si>
  <si>
    <t>Zoology (See also LAS)</t>
  </si>
  <si>
    <t>College of Business</t>
  </si>
  <si>
    <t>Business - Special</t>
  </si>
  <si>
    <t>Business - Undeclared</t>
  </si>
  <si>
    <t>Accounting</t>
  </si>
  <si>
    <t>Finance</t>
  </si>
  <si>
    <t>Management</t>
  </si>
  <si>
    <t>Management Information Systems</t>
  </si>
  <si>
    <t>Marketing</t>
  </si>
  <si>
    <t>Pre-Business</t>
  </si>
  <si>
    <t>Production/Operations Management</t>
  </si>
  <si>
    <t>Transportation and Logistics</t>
  </si>
  <si>
    <t>College of Design</t>
  </si>
  <si>
    <t>Design - Special</t>
  </si>
  <si>
    <t>Design - Undeclared</t>
  </si>
  <si>
    <t>Architecture - Professional Degree</t>
  </si>
  <si>
    <t>Art &amp; Design</t>
  </si>
  <si>
    <t>Art &amp; Design - Bachelor of Arts</t>
  </si>
  <si>
    <t>Art &amp; Design - Fine Arts</t>
  </si>
  <si>
    <t>Community &amp; Regional Planning</t>
  </si>
  <si>
    <t>Graphic Design</t>
  </si>
  <si>
    <t>Interior Design</t>
  </si>
  <si>
    <t>Landscape Architecture</t>
  </si>
  <si>
    <t>Pre-Architecture</t>
  </si>
  <si>
    <t>Pre-Landscape Architecture</t>
  </si>
  <si>
    <t>College of Education</t>
  </si>
  <si>
    <t>Education - Special</t>
  </si>
  <si>
    <t>Education - Undeclared</t>
  </si>
  <si>
    <t>Community Health Education</t>
  </si>
  <si>
    <t>Early Childhood Educ. (See also FCS)</t>
  </si>
  <si>
    <t>Elementary Education</t>
  </si>
  <si>
    <t>Exercise &amp; Sport Science</t>
  </si>
  <si>
    <t>Industrial Education &amp; Technology</t>
  </si>
  <si>
    <t>Industrial Technology</t>
  </si>
  <si>
    <t>College of Engineering</t>
  </si>
  <si>
    <t>Engineering - Special</t>
  </si>
  <si>
    <t>Aerospace Engineering</t>
  </si>
  <si>
    <t>Agricultural Engineering</t>
  </si>
  <si>
    <t>Chemical Engineering</t>
  </si>
  <si>
    <t>Civil Engineering</t>
  </si>
  <si>
    <t>Computer Engineering</t>
  </si>
  <si>
    <t>Construction Engineering</t>
  </si>
  <si>
    <t>Electrical Engineering</t>
  </si>
  <si>
    <t>Engineering Operations</t>
  </si>
  <si>
    <t>Engineering Science</t>
  </si>
  <si>
    <t>Industrial Engineering</t>
  </si>
  <si>
    <t>Mechanical Engineering</t>
  </si>
  <si>
    <t>College of Family &amp; Consumer Sciences</t>
  </si>
  <si>
    <t>Family &amp; Consumer Sciences - Special</t>
  </si>
  <si>
    <t>Family &amp; Consumer Sciences</t>
  </si>
  <si>
    <t>Apparel Merchandising, Design &amp; Produc.</t>
  </si>
  <si>
    <t>Child &amp; Family Services</t>
  </si>
  <si>
    <t>Dietetics (See also AG)</t>
  </si>
  <si>
    <t>Early Childhood Educ. (See also Educ)</t>
  </si>
  <si>
    <t>Family &amp; Consumer Sciences Education</t>
  </si>
  <si>
    <t>Family Res. Mgmt. &amp; Consumer Sciences</t>
  </si>
  <si>
    <t>Food Science (See also AG)</t>
  </si>
  <si>
    <t>Hotel, Restaurant and Institution Mgmt.</t>
  </si>
  <si>
    <t>Housing and the Near Environment</t>
  </si>
  <si>
    <t>Human Development &amp; Family Studies</t>
  </si>
  <si>
    <t>Nutritional Science (See also AG)</t>
  </si>
  <si>
    <t>Studies in Family &amp; Consumer Sciences</t>
  </si>
  <si>
    <t>College of Liberal Arts &amp; Sciences</t>
  </si>
  <si>
    <t>Intensive English &amp; Orientation-Special</t>
  </si>
  <si>
    <t>Liberal Arts &amp; Sciences - Special</t>
  </si>
  <si>
    <t>Liberal Arts &amp; Sciences - Open Option</t>
  </si>
  <si>
    <t>Advertising</t>
  </si>
  <si>
    <t>Anthropology</t>
  </si>
  <si>
    <t>Biochemistry</t>
  </si>
  <si>
    <t>Biological/Pre-Medical Illustration</t>
  </si>
  <si>
    <t>Biology</t>
  </si>
  <si>
    <t>Biophysics</t>
  </si>
  <si>
    <t>Botany</t>
  </si>
  <si>
    <t>Chemistry</t>
  </si>
  <si>
    <t xml:space="preserve">Computer Science </t>
  </si>
  <si>
    <t>Earth Science</t>
  </si>
  <si>
    <t>Economics</t>
  </si>
  <si>
    <t>English</t>
  </si>
  <si>
    <t>Environmental Sciences (LAS)</t>
  </si>
  <si>
    <t>French</t>
  </si>
  <si>
    <t>Genetics (See also AG)</t>
  </si>
  <si>
    <t>Geology</t>
  </si>
  <si>
    <t>General Undergraduate Studies</t>
  </si>
  <si>
    <t>German</t>
  </si>
  <si>
    <t>History</t>
  </si>
  <si>
    <t>Interdisciplinary Studies</t>
  </si>
  <si>
    <t>Journalism and Mass Communication</t>
  </si>
  <si>
    <t>Liberal Studies</t>
  </si>
  <si>
    <t>Linguistics</t>
  </si>
  <si>
    <t>Mathematics</t>
  </si>
  <si>
    <t>Meteorology</t>
  </si>
  <si>
    <t>Music (Curriculum)</t>
  </si>
  <si>
    <t>Music (Major)</t>
  </si>
  <si>
    <t>Performing Arts</t>
  </si>
  <si>
    <t>Philosophy</t>
  </si>
  <si>
    <t>Physics</t>
  </si>
  <si>
    <t>Political Science</t>
  </si>
  <si>
    <t>Pre-Advertising</t>
  </si>
  <si>
    <t>Pre-Biological/Pre-Medical Illustration</t>
  </si>
  <si>
    <t>Pre-Journalism &amp; Mass Communication</t>
  </si>
  <si>
    <t>Preparation for Human Medicine</t>
  </si>
  <si>
    <t>Preparation for Law</t>
  </si>
  <si>
    <t>Preprofessional Health Programs</t>
  </si>
  <si>
    <t>Psychology</t>
  </si>
  <si>
    <t>Religious Studies</t>
  </si>
  <si>
    <t>Russian</t>
  </si>
  <si>
    <t>Sociology</t>
  </si>
  <si>
    <t>Spanish</t>
  </si>
  <si>
    <t>Speech Communication</t>
  </si>
  <si>
    <t>Statistics</t>
  </si>
  <si>
    <t>Women's Studies</t>
  </si>
  <si>
    <t>Zoology (See also AG)</t>
  </si>
  <si>
    <t>College of Veterinary Medicine</t>
  </si>
  <si>
    <t>Veterinary Medicine - Special</t>
  </si>
  <si>
    <t>Veterinary Medicine</t>
  </si>
  <si>
    <t>Total Undergraduates</t>
  </si>
  <si>
    <t>*Includes U.S. Citizens, Immigrants, Refugees and Asylees only.</t>
  </si>
  <si>
    <t>1 = American Indian or Alaskan Native</t>
  </si>
  <si>
    <t>2 = Black</t>
  </si>
  <si>
    <t>4 = Asian or Pacific Islander</t>
  </si>
  <si>
    <t>6 = Hispanic</t>
  </si>
  <si>
    <t>**Internationals are included with the nonresidents.</t>
  </si>
  <si>
    <t>Applied Physics</t>
  </si>
  <si>
    <t>Engineering - Undeclared</t>
  </si>
  <si>
    <t>Materials Engineering</t>
  </si>
  <si>
    <t>Communications Studies</t>
  </si>
  <si>
    <t>Russian Studies</t>
  </si>
  <si>
    <t>Pre-Computer Science</t>
  </si>
  <si>
    <t>Technical Communication</t>
  </si>
  <si>
    <t>GRADUATES</t>
  </si>
  <si>
    <t>Agricultural Education &amp; Studies</t>
  </si>
  <si>
    <t>Biochemistry, Biophysics &amp; Molecular Biology</t>
  </si>
  <si>
    <t>Botany (See also LAS)</t>
  </si>
  <si>
    <t>Economics (See also LAS)</t>
  </si>
  <si>
    <t>Food Sci. &amp; Human Nutr. (See also FCS)</t>
  </si>
  <si>
    <t>Plant Pathology</t>
  </si>
  <si>
    <t>Sociology (See also LAS)</t>
  </si>
  <si>
    <t>Zoology &amp; Genetics (See also LAS)</t>
  </si>
  <si>
    <t>Business Administration</t>
  </si>
  <si>
    <t>Architecture</t>
  </si>
  <si>
    <t>Curriculum &amp; Instruction</t>
  </si>
  <si>
    <t>Educational Leadership &amp; Policy Studies</t>
  </si>
  <si>
    <t>Health &amp; Human Performance</t>
  </si>
  <si>
    <t>Aerospace Engr. &amp; Engr. Mechanics</t>
  </si>
  <si>
    <t>Agricultural &amp; Biosystems Engineering</t>
  </si>
  <si>
    <t>Civil &amp; Construction Engineering</t>
  </si>
  <si>
    <t>Electrical &amp; Computer Engineering</t>
  </si>
  <si>
    <t>Ind. &amp; Manufacturing Systems Engineering</t>
  </si>
  <si>
    <t>Materials Science &amp; Engineering</t>
  </si>
  <si>
    <t>Systems Engineering</t>
  </si>
  <si>
    <t>Collge of Family &amp; Consumer Sciences</t>
  </si>
  <si>
    <t>Food Sci. &amp; Human Nutr. (See also Ag)</t>
  </si>
  <si>
    <t>Biochemistry, Biophysics, &amp; Molecular Biology</t>
  </si>
  <si>
    <t>Botany (See also Ag College)</t>
  </si>
  <si>
    <t>Economics (See also Ag College)</t>
  </si>
  <si>
    <t>Geological &amp; Atmospheric Sciences</t>
  </si>
  <si>
    <t>Physics &amp; Astronomy</t>
  </si>
  <si>
    <t>Sociology (See also Ag.)</t>
  </si>
  <si>
    <t>Zoology &amp; Genetics (See also Ag)</t>
  </si>
  <si>
    <t>Biomedical Sciences</t>
  </si>
  <si>
    <t>Veterinary Clinical Sciences</t>
  </si>
  <si>
    <t>Veterinary Diagnostic &amp; Production Animal Med.</t>
  </si>
  <si>
    <t>Vet. Microbiology &amp; Preventive Medicine</t>
  </si>
  <si>
    <t>Veterinary Pathology</t>
  </si>
  <si>
    <t>Interdepartmental Programs &amp;</t>
  </si>
  <si>
    <t xml:space="preserve">  Graduate Undeclared</t>
  </si>
  <si>
    <t>Nondegree - Undeclared</t>
  </si>
  <si>
    <t>Bioinformatics &amp; Computational Biology</t>
  </si>
  <si>
    <t>Biomedical Engineering</t>
  </si>
  <si>
    <t>Genetics - Interdisciplinary</t>
  </si>
  <si>
    <t>Immunobiology</t>
  </si>
  <si>
    <t>Industrial Relations</t>
  </si>
  <si>
    <t>Interdisciplinary Graduate Studies</t>
  </si>
  <si>
    <t>Molecular, Cellular &amp; Dev. Biology</t>
  </si>
  <si>
    <t>Neurosciences</t>
  </si>
  <si>
    <t>Plant Physiology</t>
  </si>
  <si>
    <t>TOTAL GRADUATES</t>
  </si>
  <si>
    <t xml:space="preserve"> </t>
  </si>
  <si>
    <t>*Includes U.S. Citizens, Immigrants, Refugees, and Asylees only.</t>
  </si>
  <si>
    <t>Log, Operations, &amp; Mgmt Info Systems</t>
  </si>
  <si>
    <t>Information Assurance</t>
  </si>
  <si>
    <t>Sustainable Agriculture</t>
  </si>
  <si>
    <t xml:space="preserve">FALL SEMESTER 2002 ENROLLMENT </t>
  </si>
  <si>
    <t>FALL SEMESTER 2002 ENROLLMENT</t>
  </si>
  <si>
    <t>Engineering Applications</t>
  </si>
  <si>
    <t>Apparel, Educ Studies &amp; Hospitality Mgmt.*</t>
  </si>
  <si>
    <t>Family &amp; Consumer Sci. Educ. &amp; Studies*</t>
  </si>
  <si>
    <t>Textiles and Clothing*</t>
  </si>
  <si>
    <t>Hotel, Restaurant and Institution Mgmt.*</t>
  </si>
  <si>
    <t>* FCEDS, T C, and HRI are currently being administered by AESHM but are listed separately for this report.</t>
  </si>
  <si>
    <t>Toxicology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</si>
</sst>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;[Red]0"/>
    <numFmt numFmtId="165" formatCode="0_);[Red]\(0\)"/>
  </numFmts>
  <fonts count="10">
    <font>
      <sz val="10"/>
      <name val="Helv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sz val="12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i/>
      <sz val="10"/>
      <name val="Times New Roman"/>
      <family val="1"/>
    </font>
    <font>
      <sz val="9"/>
      <name val="Helv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 quotePrefix="1">
      <alignment horizontal="left"/>
    </xf>
    <xf numFmtId="0" fontId="8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9" fillId="0" borderId="0" xfId="0" applyFont="1" applyFill="1" applyAlignment="1">
      <alignment horizontal="left"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Q245"/>
  <sheetViews>
    <sheetView showGridLines="0" tabSelected="1" zoomScale="75" zoomScaleNormal="75" zoomScaleSheetLayoutView="100" workbookViewId="0" topLeftCell="A31">
      <selection activeCell="I4" sqref="I4"/>
    </sheetView>
  </sheetViews>
  <sheetFormatPr defaultColWidth="9.7109375" defaultRowHeight="12.75"/>
  <cols>
    <col min="1" max="1" width="3.140625" style="3" customWidth="1"/>
    <col min="2" max="2" width="36.57421875" style="3" customWidth="1"/>
    <col min="3" max="4" width="5.7109375" style="3" customWidth="1"/>
    <col min="5" max="5" width="7.28125" style="3" customWidth="1"/>
    <col min="6" max="6" width="1.1484375" style="3" customWidth="1"/>
    <col min="7" max="7" width="3.7109375" style="3" customWidth="1"/>
    <col min="8" max="9" width="4.28125" style="3" customWidth="1"/>
    <col min="10" max="10" width="4.57421875" style="3" customWidth="1"/>
    <col min="11" max="11" width="1.1484375" style="3" customWidth="1"/>
    <col min="12" max="12" width="5.7109375" style="3" customWidth="1"/>
    <col min="13" max="13" width="2.7109375" style="3" customWidth="1"/>
    <col min="14" max="14" width="5.140625" style="3" customWidth="1"/>
    <col min="15" max="15" width="2.7109375" style="3" customWidth="1"/>
    <col min="16" max="16" width="4.7109375" style="3" customWidth="1"/>
    <col min="17" max="17" width="2.28125" style="3" customWidth="1"/>
    <col min="18" max="16384" width="9.7109375" style="3" customWidth="1"/>
  </cols>
  <sheetData>
    <row r="1" spans="1:17" ht="15.75">
      <c r="A1" s="1" t="s">
        <v>223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5.75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6" spans="8:16" ht="12.75">
      <c r="H6" s="4" t="s">
        <v>1</v>
      </c>
      <c r="N6" s="5" t="s">
        <v>2</v>
      </c>
      <c r="P6" s="5" t="s">
        <v>3</v>
      </c>
    </row>
    <row r="7" spans="1:16" ht="12.75">
      <c r="A7" s="4" t="s">
        <v>4</v>
      </c>
      <c r="B7" s="6"/>
      <c r="C7" s="7" t="s">
        <v>5</v>
      </c>
      <c r="D7" s="7" t="s">
        <v>6</v>
      </c>
      <c r="E7" s="7" t="s">
        <v>7</v>
      </c>
      <c r="F7" s="6"/>
      <c r="G7" s="7" t="s">
        <v>8</v>
      </c>
      <c r="H7" s="7" t="s">
        <v>9</v>
      </c>
      <c r="I7" s="7" t="s">
        <v>10</v>
      </c>
      <c r="J7" s="7" t="s">
        <v>11</v>
      </c>
      <c r="K7" s="6"/>
      <c r="L7" s="8" t="s">
        <v>12</v>
      </c>
      <c r="M7" s="6"/>
      <c r="N7" s="8" t="s">
        <v>13</v>
      </c>
      <c r="O7" s="6"/>
      <c r="P7" s="8" t="s">
        <v>14</v>
      </c>
    </row>
    <row r="8" spans="2:16" ht="12" customHeight="1">
      <c r="B8" s="9" t="s">
        <v>15</v>
      </c>
      <c r="C8" s="3">
        <f aca="true" t="shared" si="0" ref="C8:C24">D8+E8</f>
        <v>37</v>
      </c>
      <c r="D8" s="3">
        <v>19</v>
      </c>
      <c r="E8" s="3">
        <v>18</v>
      </c>
      <c r="H8" s="3">
        <v>1</v>
      </c>
      <c r="L8" s="3">
        <f aca="true" t="shared" si="1" ref="L8:L24">(C8-N8)</f>
        <v>19</v>
      </c>
      <c r="N8" s="3">
        <v>18</v>
      </c>
      <c r="P8" s="3">
        <v>6</v>
      </c>
    </row>
    <row r="9" spans="2:14" ht="12" customHeight="1">
      <c r="B9" s="9" t="s">
        <v>16</v>
      </c>
      <c r="C9" s="3">
        <f t="shared" si="0"/>
        <v>43</v>
      </c>
      <c r="D9" s="3">
        <v>26</v>
      </c>
      <c r="E9" s="3">
        <v>17</v>
      </c>
      <c r="H9" s="3">
        <v>1</v>
      </c>
      <c r="I9" s="3">
        <v>1</v>
      </c>
      <c r="L9" s="3">
        <f t="shared" si="1"/>
        <v>36</v>
      </c>
      <c r="N9" s="3">
        <v>7</v>
      </c>
    </row>
    <row r="10" spans="2:14" ht="12" customHeight="1">
      <c r="B10" s="9" t="s">
        <v>17</v>
      </c>
      <c r="C10" s="3">
        <f t="shared" si="0"/>
        <v>17</v>
      </c>
      <c r="D10" s="3">
        <v>4</v>
      </c>
      <c r="E10" s="3">
        <v>13</v>
      </c>
      <c r="I10" s="3">
        <v>1</v>
      </c>
      <c r="J10" s="3">
        <v>1</v>
      </c>
      <c r="L10" s="3">
        <f t="shared" si="1"/>
        <v>12</v>
      </c>
      <c r="N10" s="3">
        <v>5</v>
      </c>
    </row>
    <row r="11" spans="2:16" ht="12" customHeight="1">
      <c r="B11" s="9" t="s">
        <v>18</v>
      </c>
      <c r="C11" s="3">
        <f t="shared" si="0"/>
        <v>302</v>
      </c>
      <c r="D11" s="3">
        <v>217</v>
      </c>
      <c r="E11" s="3">
        <v>85</v>
      </c>
      <c r="G11" s="3">
        <v>1</v>
      </c>
      <c r="H11" s="3">
        <v>3</v>
      </c>
      <c r="J11" s="3">
        <v>2</v>
      </c>
      <c r="L11" s="3">
        <f t="shared" si="1"/>
        <v>277</v>
      </c>
      <c r="N11" s="3">
        <v>25</v>
      </c>
      <c r="P11" s="3">
        <v>1</v>
      </c>
    </row>
    <row r="12" spans="2:14" ht="12" customHeight="1">
      <c r="B12" s="9" t="s">
        <v>19</v>
      </c>
      <c r="C12" s="3">
        <f t="shared" si="0"/>
        <v>122</v>
      </c>
      <c r="D12" s="3">
        <v>47</v>
      </c>
      <c r="E12" s="3">
        <v>75</v>
      </c>
      <c r="J12" s="3">
        <v>1</v>
      </c>
      <c r="L12" s="3">
        <f t="shared" si="1"/>
        <v>117</v>
      </c>
      <c r="N12" s="3">
        <v>5</v>
      </c>
    </row>
    <row r="13" spans="2:16" ht="12" customHeight="1">
      <c r="B13" s="9" t="s">
        <v>20</v>
      </c>
      <c r="C13" s="3">
        <f t="shared" si="0"/>
        <v>224</v>
      </c>
      <c r="D13" s="3">
        <v>202</v>
      </c>
      <c r="E13" s="3">
        <v>22</v>
      </c>
      <c r="I13" s="3">
        <v>1</v>
      </c>
      <c r="L13" s="3">
        <f t="shared" si="1"/>
        <v>216</v>
      </c>
      <c r="N13" s="3">
        <v>8</v>
      </c>
      <c r="P13" s="3">
        <v>1</v>
      </c>
    </row>
    <row r="14" spans="2:14" ht="12" customHeight="1">
      <c r="B14" s="9" t="s">
        <v>21</v>
      </c>
      <c r="C14" s="3">
        <f t="shared" si="0"/>
        <v>139</v>
      </c>
      <c r="D14" s="3">
        <v>131</v>
      </c>
      <c r="E14" s="3">
        <v>8</v>
      </c>
      <c r="L14" s="3">
        <f t="shared" si="1"/>
        <v>130</v>
      </c>
      <c r="N14" s="3">
        <v>9</v>
      </c>
    </row>
    <row r="15" spans="2:16" ht="12" customHeight="1">
      <c r="B15" s="9" t="s">
        <v>22</v>
      </c>
      <c r="C15" s="3">
        <f t="shared" si="0"/>
        <v>150</v>
      </c>
      <c r="D15" s="3">
        <v>130</v>
      </c>
      <c r="E15" s="3">
        <v>20</v>
      </c>
      <c r="J15" s="3">
        <v>1</v>
      </c>
      <c r="L15" s="3">
        <f t="shared" si="1"/>
        <v>140</v>
      </c>
      <c r="N15" s="3">
        <v>10</v>
      </c>
      <c r="P15" s="3">
        <v>1</v>
      </c>
    </row>
    <row r="16" spans="2:14" ht="12" customHeight="1">
      <c r="B16" s="9" t="s">
        <v>23</v>
      </c>
      <c r="C16" s="3">
        <f t="shared" si="0"/>
        <v>316</v>
      </c>
      <c r="D16" s="3">
        <v>158</v>
      </c>
      <c r="E16" s="3">
        <v>158</v>
      </c>
      <c r="G16" s="3">
        <v>1</v>
      </c>
      <c r="H16" s="3">
        <v>2</v>
      </c>
      <c r="I16" s="3">
        <v>3</v>
      </c>
      <c r="J16" s="3">
        <v>5</v>
      </c>
      <c r="L16" s="3">
        <f t="shared" si="1"/>
        <v>284</v>
      </c>
      <c r="N16" s="3">
        <f>5+27</f>
        <v>32</v>
      </c>
    </row>
    <row r="17" spans="2:16" ht="12" customHeight="1">
      <c r="B17" s="9" t="s">
        <v>24</v>
      </c>
      <c r="C17" s="3">
        <f t="shared" si="0"/>
        <v>385</v>
      </c>
      <c r="D17" s="3">
        <v>136</v>
      </c>
      <c r="E17" s="3">
        <v>249</v>
      </c>
      <c r="G17" s="3">
        <v>2</v>
      </c>
      <c r="H17" s="3">
        <v>1</v>
      </c>
      <c r="I17" s="3">
        <v>2</v>
      </c>
      <c r="J17" s="3">
        <v>15</v>
      </c>
      <c r="L17" s="3">
        <f t="shared" si="1"/>
        <v>312</v>
      </c>
      <c r="N17" s="3">
        <f>17+56</f>
        <v>73</v>
      </c>
      <c r="P17" s="3">
        <v>5</v>
      </c>
    </row>
    <row r="18" spans="2:14" ht="12" customHeight="1">
      <c r="B18" s="9" t="s">
        <v>25</v>
      </c>
      <c r="C18" s="3">
        <f t="shared" si="0"/>
        <v>122</v>
      </c>
      <c r="D18" s="3">
        <v>23</v>
      </c>
      <c r="E18" s="3">
        <v>99</v>
      </c>
      <c r="H18" s="3">
        <v>1</v>
      </c>
      <c r="I18" s="3">
        <v>1</v>
      </c>
      <c r="J18" s="3">
        <v>3</v>
      </c>
      <c r="L18" s="3">
        <f t="shared" si="1"/>
        <v>87</v>
      </c>
      <c r="N18" s="3">
        <v>35</v>
      </c>
    </row>
    <row r="19" spans="2:16" ht="12" customHeight="1">
      <c r="B19" s="9" t="s">
        <v>26</v>
      </c>
      <c r="C19" s="3">
        <f t="shared" si="0"/>
        <v>41</v>
      </c>
      <c r="D19" s="3">
        <v>14</v>
      </c>
      <c r="E19" s="3">
        <v>27</v>
      </c>
      <c r="L19" s="3">
        <f t="shared" si="1"/>
        <v>34</v>
      </c>
      <c r="N19" s="3">
        <v>7</v>
      </c>
      <c r="P19" s="3">
        <v>1</v>
      </c>
    </row>
    <row r="20" spans="2:14" ht="12" customHeight="1">
      <c r="B20" s="9" t="s">
        <v>27</v>
      </c>
      <c r="C20" s="3">
        <f t="shared" si="0"/>
        <v>9</v>
      </c>
      <c r="D20" s="3">
        <v>3</v>
      </c>
      <c r="E20" s="3">
        <v>6</v>
      </c>
      <c r="I20" s="3">
        <v>1</v>
      </c>
      <c r="L20" s="3">
        <f t="shared" si="1"/>
        <v>6</v>
      </c>
      <c r="N20" s="3">
        <v>3</v>
      </c>
    </row>
    <row r="21" spans="2:14" ht="12" customHeight="1">
      <c r="B21" s="9" t="s">
        <v>28</v>
      </c>
      <c r="C21" s="3">
        <f t="shared" si="0"/>
        <v>12</v>
      </c>
      <c r="D21" s="3">
        <v>2</v>
      </c>
      <c r="E21" s="3">
        <v>10</v>
      </c>
      <c r="J21" s="3">
        <v>1</v>
      </c>
      <c r="L21" s="3">
        <f t="shared" si="1"/>
        <v>11</v>
      </c>
      <c r="N21" s="3">
        <v>1</v>
      </c>
    </row>
    <row r="22" spans="2:16" ht="12" customHeight="1">
      <c r="B22" s="9" t="s">
        <v>29</v>
      </c>
      <c r="C22" s="3">
        <f t="shared" si="0"/>
        <v>10</v>
      </c>
      <c r="D22" s="3">
        <v>4</v>
      </c>
      <c r="E22" s="3">
        <v>6</v>
      </c>
      <c r="L22" s="3">
        <f t="shared" si="1"/>
        <v>7</v>
      </c>
      <c r="N22" s="3">
        <v>3</v>
      </c>
      <c r="P22" s="3">
        <v>1</v>
      </c>
    </row>
    <row r="23" spans="2:14" ht="12" customHeight="1">
      <c r="B23" s="9" t="s">
        <v>30</v>
      </c>
      <c r="C23" s="3">
        <f t="shared" si="0"/>
        <v>26</v>
      </c>
      <c r="D23" s="3">
        <v>16</v>
      </c>
      <c r="E23" s="3">
        <v>10</v>
      </c>
      <c r="G23" s="3">
        <v>1</v>
      </c>
      <c r="I23" s="3">
        <v>1</v>
      </c>
      <c r="L23" s="3">
        <f t="shared" si="1"/>
        <v>23</v>
      </c>
      <c r="N23" s="3">
        <v>3</v>
      </c>
    </row>
    <row r="24" spans="2:16" ht="12.75">
      <c r="B24" s="9" t="s">
        <v>31</v>
      </c>
      <c r="C24" s="3">
        <f t="shared" si="0"/>
        <v>21</v>
      </c>
      <c r="D24" s="3">
        <v>4</v>
      </c>
      <c r="E24" s="3">
        <v>17</v>
      </c>
      <c r="I24" s="3">
        <v>1</v>
      </c>
      <c r="J24" s="3">
        <v>1</v>
      </c>
      <c r="L24" s="3">
        <f t="shared" si="1"/>
        <v>14</v>
      </c>
      <c r="N24" s="3">
        <v>7</v>
      </c>
      <c r="P24" s="3">
        <v>5</v>
      </c>
    </row>
    <row r="25" spans="2:16" ht="12" customHeight="1">
      <c r="B25" s="9" t="s">
        <v>32</v>
      </c>
      <c r="C25" s="3">
        <f aca="true" t="shared" si="2" ref="C25:C34">D25+E25</f>
        <v>92</v>
      </c>
      <c r="D25" s="3">
        <v>80</v>
      </c>
      <c r="E25" s="3">
        <v>12</v>
      </c>
      <c r="I25" s="3">
        <v>1</v>
      </c>
      <c r="J25" s="3">
        <v>1</v>
      </c>
      <c r="L25" s="3">
        <f aca="true" t="shared" si="3" ref="L25:L34">(C25-N25)</f>
        <v>81</v>
      </c>
      <c r="N25" s="3">
        <v>11</v>
      </c>
      <c r="P25" s="3">
        <v>1</v>
      </c>
    </row>
    <row r="26" spans="2:14" ht="12.75">
      <c r="B26" s="9" t="s">
        <v>33</v>
      </c>
      <c r="C26" s="3">
        <f t="shared" si="2"/>
        <v>57</v>
      </c>
      <c r="D26" s="3">
        <v>11</v>
      </c>
      <c r="E26" s="3">
        <v>46</v>
      </c>
      <c r="H26" s="3">
        <v>2</v>
      </c>
      <c r="I26" s="3">
        <v>2</v>
      </c>
      <c r="J26" s="3">
        <v>1</v>
      </c>
      <c r="L26" s="3">
        <f t="shared" si="3"/>
        <v>40</v>
      </c>
      <c r="N26" s="3">
        <f>3+14</f>
        <v>17</v>
      </c>
    </row>
    <row r="27" spans="2:16" ht="12" customHeight="1">
      <c r="B27" s="9" t="s">
        <v>34</v>
      </c>
      <c r="C27" s="3">
        <f t="shared" si="2"/>
        <v>31</v>
      </c>
      <c r="D27" s="3">
        <v>15</v>
      </c>
      <c r="E27" s="3">
        <v>16</v>
      </c>
      <c r="J27" s="3">
        <v>1</v>
      </c>
      <c r="L27" s="3">
        <f t="shared" si="3"/>
        <v>22</v>
      </c>
      <c r="N27" s="3">
        <v>9</v>
      </c>
      <c r="P27" s="3">
        <v>1</v>
      </c>
    </row>
    <row r="28" spans="2:16" ht="12" customHeight="1">
      <c r="B28" s="9" t="s">
        <v>35</v>
      </c>
      <c r="C28" s="3">
        <f t="shared" si="2"/>
        <v>296</v>
      </c>
      <c r="D28" s="3">
        <v>210</v>
      </c>
      <c r="E28" s="3">
        <v>86</v>
      </c>
      <c r="G28" s="3">
        <v>1</v>
      </c>
      <c r="H28" s="3">
        <v>1</v>
      </c>
      <c r="I28" s="3">
        <v>2</v>
      </c>
      <c r="J28" s="3">
        <v>3</v>
      </c>
      <c r="L28" s="3">
        <f t="shared" si="3"/>
        <v>261</v>
      </c>
      <c r="N28" s="3">
        <f>24+11</f>
        <v>35</v>
      </c>
      <c r="P28" s="3">
        <v>2</v>
      </c>
    </row>
    <row r="29" spans="2:14" ht="12.75">
      <c r="B29" s="9" t="s">
        <v>36</v>
      </c>
      <c r="C29" s="3">
        <f t="shared" si="2"/>
        <v>64</v>
      </c>
      <c r="D29" s="3">
        <v>16</v>
      </c>
      <c r="E29" s="3">
        <v>48</v>
      </c>
      <c r="I29" s="3">
        <v>2</v>
      </c>
      <c r="J29" s="3">
        <v>2</v>
      </c>
      <c r="L29" s="3">
        <f t="shared" si="3"/>
        <v>58</v>
      </c>
      <c r="N29" s="3">
        <v>6</v>
      </c>
    </row>
    <row r="30" spans="2:14" ht="12" customHeight="1">
      <c r="B30" s="9" t="s">
        <v>37</v>
      </c>
      <c r="C30" s="3">
        <f t="shared" si="2"/>
        <v>6</v>
      </c>
      <c r="D30" s="3">
        <v>2</v>
      </c>
      <c r="E30" s="3">
        <v>4</v>
      </c>
      <c r="J30" s="3">
        <v>1</v>
      </c>
      <c r="L30" s="3">
        <f t="shared" si="3"/>
        <v>3</v>
      </c>
      <c r="N30" s="3">
        <v>3</v>
      </c>
    </row>
    <row r="31" spans="2:12" ht="12.75">
      <c r="B31" s="9" t="s">
        <v>38</v>
      </c>
      <c r="C31" s="3">
        <f t="shared" si="2"/>
        <v>6</v>
      </c>
      <c r="D31" s="3">
        <v>2</v>
      </c>
      <c r="E31" s="3">
        <v>4</v>
      </c>
      <c r="L31" s="3">
        <f t="shared" si="3"/>
        <v>6</v>
      </c>
    </row>
    <row r="32" spans="2:16" ht="12" customHeight="1">
      <c r="B32" s="9" t="s">
        <v>39</v>
      </c>
      <c r="C32" s="3">
        <f t="shared" si="2"/>
        <v>33</v>
      </c>
      <c r="D32" s="3">
        <v>17</v>
      </c>
      <c r="E32" s="3">
        <v>16</v>
      </c>
      <c r="L32" s="3">
        <f t="shared" si="3"/>
        <v>14</v>
      </c>
      <c r="N32" s="3">
        <f>11+8</f>
        <v>19</v>
      </c>
      <c r="P32" s="3">
        <v>1</v>
      </c>
    </row>
    <row r="33" spans="2:14" ht="12" customHeight="1">
      <c r="B33" s="9" t="s">
        <v>40</v>
      </c>
      <c r="C33" s="3">
        <f t="shared" si="2"/>
        <v>27</v>
      </c>
      <c r="D33" s="3">
        <v>5</v>
      </c>
      <c r="E33" s="3">
        <v>22</v>
      </c>
      <c r="H33" s="3">
        <v>1</v>
      </c>
      <c r="I33" s="3">
        <v>1</v>
      </c>
      <c r="L33" s="3">
        <f t="shared" si="3"/>
        <v>24</v>
      </c>
      <c r="N33" s="3">
        <v>3</v>
      </c>
    </row>
    <row r="34" spans="2:14" ht="12" customHeight="1">
      <c r="B34" s="9" t="s">
        <v>41</v>
      </c>
      <c r="C34" s="3">
        <f t="shared" si="2"/>
        <v>36</v>
      </c>
      <c r="D34" s="3">
        <v>11</v>
      </c>
      <c r="E34" s="3">
        <v>25</v>
      </c>
      <c r="H34" s="3">
        <v>2</v>
      </c>
      <c r="L34" s="3">
        <f t="shared" si="3"/>
        <v>30</v>
      </c>
      <c r="N34" s="3">
        <v>6</v>
      </c>
    </row>
    <row r="36" spans="1:16" ht="12.75">
      <c r="A36" s="9" t="s">
        <v>5</v>
      </c>
      <c r="C36" s="3">
        <f>SUM(C8:C34)</f>
        <v>2624</v>
      </c>
      <c r="D36" s="3">
        <f>SUM(D8:D34)</f>
        <v>1505</v>
      </c>
      <c r="E36" s="3">
        <f>SUM(E8:E34)</f>
        <v>1119</v>
      </c>
      <c r="G36" s="3">
        <f>SUM(G8:G34)</f>
        <v>6</v>
      </c>
      <c r="H36" s="3">
        <f>SUM(H8:H34)</f>
        <v>15</v>
      </c>
      <c r="I36" s="3">
        <f>SUM(I8:I34)</f>
        <v>20</v>
      </c>
      <c r="J36" s="3">
        <f>SUM(J8:J34)</f>
        <v>39</v>
      </c>
      <c r="L36" s="3">
        <f>SUM(L8:L34)</f>
        <v>2264</v>
      </c>
      <c r="N36" s="3">
        <f>SUM(N8:N34)</f>
        <v>360</v>
      </c>
      <c r="P36" s="3">
        <f>SUM(P8:P34)</f>
        <v>26</v>
      </c>
    </row>
    <row r="42" spans="1:17" ht="15.75">
      <c r="A42" s="1" t="s">
        <v>224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4" spans="8:16" ht="12.75">
      <c r="H44" s="4" t="s">
        <v>1</v>
      </c>
      <c r="N44" s="5" t="s">
        <v>2</v>
      </c>
      <c r="P44" s="5" t="s">
        <v>3</v>
      </c>
    </row>
    <row r="45" spans="1:16" ht="12.75">
      <c r="A45" s="4" t="s">
        <v>42</v>
      </c>
      <c r="C45" s="7" t="s">
        <v>5</v>
      </c>
      <c r="D45" s="7" t="s">
        <v>6</v>
      </c>
      <c r="E45" s="7" t="s">
        <v>7</v>
      </c>
      <c r="F45" s="6"/>
      <c r="G45" s="7" t="s">
        <v>8</v>
      </c>
      <c r="H45" s="7" t="s">
        <v>9</v>
      </c>
      <c r="I45" s="7" t="s">
        <v>10</v>
      </c>
      <c r="J45" s="7" t="s">
        <v>11</v>
      </c>
      <c r="K45" s="6"/>
      <c r="L45" s="8" t="s">
        <v>12</v>
      </c>
      <c r="M45" s="6"/>
      <c r="N45" s="8" t="s">
        <v>13</v>
      </c>
      <c r="O45" s="6"/>
      <c r="P45" s="8" t="s">
        <v>14</v>
      </c>
    </row>
    <row r="46" spans="2:16" ht="12.75">
      <c r="B46" s="9" t="s">
        <v>43</v>
      </c>
      <c r="C46" s="3">
        <f aca="true" t="shared" si="4" ref="C46:C55">D46+E46</f>
        <v>17</v>
      </c>
      <c r="D46" s="3">
        <v>2</v>
      </c>
      <c r="E46" s="3">
        <v>15</v>
      </c>
      <c r="I46" s="3">
        <v>1</v>
      </c>
      <c r="L46" s="3">
        <f aca="true" t="shared" si="5" ref="L46:L55">(C46-N46)</f>
        <v>4</v>
      </c>
      <c r="N46" s="3">
        <v>13</v>
      </c>
      <c r="P46" s="3">
        <v>9</v>
      </c>
    </row>
    <row r="47" spans="2:16" ht="12.75">
      <c r="B47" s="9" t="s">
        <v>44</v>
      </c>
      <c r="C47" s="3">
        <f t="shared" si="4"/>
        <v>75</v>
      </c>
      <c r="D47" s="3">
        <v>52</v>
      </c>
      <c r="E47" s="3">
        <v>23</v>
      </c>
      <c r="H47" s="3">
        <v>2</v>
      </c>
      <c r="I47" s="3">
        <v>5</v>
      </c>
      <c r="J47" s="3">
        <v>3</v>
      </c>
      <c r="L47" s="3">
        <f t="shared" si="5"/>
        <v>66</v>
      </c>
      <c r="N47" s="3">
        <v>9</v>
      </c>
      <c r="P47" s="3">
        <v>1</v>
      </c>
    </row>
    <row r="48" spans="2:16" ht="12.75">
      <c r="B48" s="9" t="s">
        <v>45</v>
      </c>
      <c r="C48" s="3">
        <f t="shared" si="4"/>
        <v>246</v>
      </c>
      <c r="D48" s="3">
        <v>100</v>
      </c>
      <c r="E48" s="3">
        <v>146</v>
      </c>
      <c r="G48" s="3">
        <v>1</v>
      </c>
      <c r="H48" s="3">
        <v>3</v>
      </c>
      <c r="I48" s="3">
        <v>6</v>
      </c>
      <c r="J48" s="3">
        <v>4</v>
      </c>
      <c r="L48" s="3">
        <f t="shared" si="5"/>
        <v>204</v>
      </c>
      <c r="N48" s="3">
        <f>16+26</f>
        <v>42</v>
      </c>
      <c r="P48" s="3">
        <v>18</v>
      </c>
    </row>
    <row r="49" spans="2:16" ht="12.75">
      <c r="B49" s="9" t="s">
        <v>46</v>
      </c>
      <c r="C49" s="3">
        <f t="shared" si="4"/>
        <v>303</v>
      </c>
      <c r="D49" s="3">
        <v>201</v>
      </c>
      <c r="E49" s="3">
        <v>102</v>
      </c>
      <c r="G49" s="3">
        <v>2</v>
      </c>
      <c r="H49" s="3">
        <v>4</v>
      </c>
      <c r="I49" s="3">
        <v>8</v>
      </c>
      <c r="J49" s="3">
        <v>2</v>
      </c>
      <c r="L49" s="3">
        <f t="shared" si="5"/>
        <v>242</v>
      </c>
      <c r="N49" s="3">
        <f>39+22</f>
        <v>61</v>
      </c>
      <c r="P49" s="3">
        <v>16</v>
      </c>
    </row>
    <row r="50" spans="2:16" ht="12.75">
      <c r="B50" s="9" t="s">
        <v>47</v>
      </c>
      <c r="C50" s="3">
        <f t="shared" si="4"/>
        <v>231</v>
      </c>
      <c r="D50" s="3">
        <v>138</v>
      </c>
      <c r="E50" s="3">
        <v>93</v>
      </c>
      <c r="G50" s="3">
        <v>1</v>
      </c>
      <c r="H50" s="3">
        <v>5</v>
      </c>
      <c r="I50" s="3">
        <v>4</v>
      </c>
      <c r="J50" s="3">
        <v>6</v>
      </c>
      <c r="L50" s="3">
        <f t="shared" si="5"/>
        <v>202</v>
      </c>
      <c r="N50" s="3">
        <f>16+13</f>
        <v>29</v>
      </c>
      <c r="P50" s="3">
        <v>6</v>
      </c>
    </row>
    <row r="51" spans="2:16" ht="12.75">
      <c r="B51" s="9" t="s">
        <v>48</v>
      </c>
      <c r="C51" s="3">
        <f t="shared" si="4"/>
        <v>437</v>
      </c>
      <c r="D51" s="3">
        <v>344</v>
      </c>
      <c r="E51" s="3">
        <v>93</v>
      </c>
      <c r="G51" s="3">
        <v>2</v>
      </c>
      <c r="H51" s="3">
        <v>13</v>
      </c>
      <c r="I51" s="3">
        <v>22</v>
      </c>
      <c r="J51" s="3">
        <v>5</v>
      </c>
      <c r="L51" s="3">
        <f t="shared" si="5"/>
        <v>324</v>
      </c>
      <c r="N51" s="3">
        <f>81+32</f>
        <v>113</v>
      </c>
      <c r="P51" s="3">
        <f>34+25</f>
        <v>59</v>
      </c>
    </row>
    <row r="52" spans="2:16" ht="12.75">
      <c r="B52" s="9" t="s">
        <v>49</v>
      </c>
      <c r="C52" s="3">
        <f t="shared" si="4"/>
        <v>381</v>
      </c>
      <c r="D52" s="3">
        <v>170</v>
      </c>
      <c r="E52" s="3">
        <v>211</v>
      </c>
      <c r="H52" s="3">
        <v>8</v>
      </c>
      <c r="I52" s="3">
        <v>11</v>
      </c>
      <c r="J52" s="3">
        <v>11</v>
      </c>
      <c r="L52" s="3">
        <f t="shared" si="5"/>
        <v>291</v>
      </c>
      <c r="N52" s="3">
        <f>33+57</f>
        <v>90</v>
      </c>
      <c r="P52" s="3">
        <v>13</v>
      </c>
    </row>
    <row r="53" spans="2:16" ht="12.75">
      <c r="B53" s="9" t="s">
        <v>50</v>
      </c>
      <c r="C53" s="3">
        <f t="shared" si="4"/>
        <v>1887</v>
      </c>
      <c r="D53" s="3">
        <v>1187</v>
      </c>
      <c r="E53" s="3">
        <v>700</v>
      </c>
      <c r="G53" s="3">
        <v>5</v>
      </c>
      <c r="H53" s="3">
        <v>73</v>
      </c>
      <c r="I53" s="3">
        <f>35+34</f>
        <v>69</v>
      </c>
      <c r="J53" s="3">
        <f>28+14</f>
        <v>42</v>
      </c>
      <c r="L53" s="3">
        <f t="shared" si="5"/>
        <v>1486</v>
      </c>
      <c r="N53" s="3">
        <f>244+157</f>
        <v>401</v>
      </c>
      <c r="P53" s="3">
        <f>57+36</f>
        <v>93</v>
      </c>
    </row>
    <row r="54" spans="2:16" ht="12.75">
      <c r="B54" s="9" t="s">
        <v>51</v>
      </c>
      <c r="C54" s="3">
        <f t="shared" si="4"/>
        <v>41</v>
      </c>
      <c r="D54" s="3">
        <v>28</v>
      </c>
      <c r="E54" s="3">
        <v>13</v>
      </c>
      <c r="J54" s="3">
        <v>1</v>
      </c>
      <c r="L54" s="3">
        <f t="shared" si="5"/>
        <v>28</v>
      </c>
      <c r="N54" s="3">
        <f>8+5</f>
        <v>13</v>
      </c>
      <c r="P54" s="3">
        <v>3</v>
      </c>
    </row>
    <row r="55" spans="2:16" ht="12.75">
      <c r="B55" s="9" t="s">
        <v>52</v>
      </c>
      <c r="C55" s="3">
        <f t="shared" si="4"/>
        <v>111</v>
      </c>
      <c r="D55" s="3">
        <v>81</v>
      </c>
      <c r="E55" s="3">
        <v>30</v>
      </c>
      <c r="H55" s="3">
        <v>1</v>
      </c>
      <c r="I55" s="3">
        <v>2</v>
      </c>
      <c r="L55" s="3">
        <f t="shared" si="5"/>
        <v>95</v>
      </c>
      <c r="N55" s="3">
        <v>16</v>
      </c>
      <c r="P55" s="3">
        <v>8</v>
      </c>
    </row>
    <row r="57" spans="1:16" ht="12.75">
      <c r="A57" s="9" t="s">
        <v>5</v>
      </c>
      <c r="C57" s="3">
        <f>SUM(C45:C55)</f>
        <v>3729</v>
      </c>
      <c r="D57" s="3">
        <f>SUM(D45:D55)</f>
        <v>2303</v>
      </c>
      <c r="E57" s="3">
        <f>SUM(E45:E55)</f>
        <v>1426</v>
      </c>
      <c r="G57" s="3">
        <f>SUM(G46:G55)</f>
        <v>11</v>
      </c>
      <c r="H57" s="3">
        <f>SUM(H46:H55)</f>
        <v>109</v>
      </c>
      <c r="I57" s="3">
        <f>SUM(I46:I55)</f>
        <v>128</v>
      </c>
      <c r="J57" s="3">
        <f>SUM(J46:J55)</f>
        <v>74</v>
      </c>
      <c r="L57" s="3">
        <f>SUM(L45:L55)</f>
        <v>2942</v>
      </c>
      <c r="N57" s="3">
        <f>SUM(N45:N55)</f>
        <v>787</v>
      </c>
      <c r="P57" s="3">
        <f>SUM(P45:P55)</f>
        <v>226</v>
      </c>
    </row>
    <row r="61" spans="7:16" ht="12.75">
      <c r="G61" s="6"/>
      <c r="H61" s="4" t="s">
        <v>1</v>
      </c>
      <c r="N61" s="5" t="s">
        <v>2</v>
      </c>
      <c r="P61" s="5" t="s">
        <v>3</v>
      </c>
    </row>
    <row r="62" spans="1:16" ht="12.75">
      <c r="A62" s="4" t="s">
        <v>53</v>
      </c>
      <c r="B62" s="6"/>
      <c r="C62" s="7" t="s">
        <v>5</v>
      </c>
      <c r="D62" s="7" t="s">
        <v>6</v>
      </c>
      <c r="E62" s="7" t="s">
        <v>7</v>
      </c>
      <c r="F62" s="6"/>
      <c r="G62" s="7" t="s">
        <v>8</v>
      </c>
      <c r="H62" s="7" t="s">
        <v>9</v>
      </c>
      <c r="I62" s="7" t="s">
        <v>10</v>
      </c>
      <c r="J62" s="7" t="s">
        <v>11</v>
      </c>
      <c r="K62" s="6"/>
      <c r="L62" s="8" t="s">
        <v>12</v>
      </c>
      <c r="M62" s="6"/>
      <c r="N62" s="8" t="s">
        <v>13</v>
      </c>
      <c r="O62" s="6"/>
      <c r="P62" s="8" t="s">
        <v>14</v>
      </c>
    </row>
    <row r="63" spans="2:16" ht="12" customHeight="1">
      <c r="B63" s="9" t="s">
        <v>54</v>
      </c>
      <c r="C63" s="3">
        <f aca="true" t="shared" si="6" ref="C63:C74">D63+E63</f>
        <v>17</v>
      </c>
      <c r="D63" s="3">
        <v>6</v>
      </c>
      <c r="E63" s="3">
        <v>11</v>
      </c>
      <c r="L63" s="3">
        <f aca="true" t="shared" si="7" ref="L63:L74">(C63-N63)</f>
        <v>13</v>
      </c>
      <c r="N63" s="3">
        <v>4</v>
      </c>
      <c r="P63" s="3">
        <v>2</v>
      </c>
    </row>
    <row r="64" spans="2:12" ht="12" customHeight="1">
      <c r="B64" s="9" t="s">
        <v>55</v>
      </c>
      <c r="C64" s="3">
        <f t="shared" si="6"/>
        <v>0</v>
      </c>
      <c r="D64" s="3">
        <v>0</v>
      </c>
      <c r="E64" s="3">
        <v>0</v>
      </c>
      <c r="L64" s="3">
        <f t="shared" si="7"/>
        <v>0</v>
      </c>
    </row>
    <row r="65" spans="2:16" ht="12" customHeight="1">
      <c r="B65" s="9" t="s">
        <v>56</v>
      </c>
      <c r="C65" s="3">
        <f t="shared" si="6"/>
        <v>250</v>
      </c>
      <c r="D65" s="3">
        <v>158</v>
      </c>
      <c r="E65" s="3">
        <v>92</v>
      </c>
      <c r="H65" s="3">
        <v>2</v>
      </c>
      <c r="I65" s="3">
        <v>9</v>
      </c>
      <c r="J65" s="3">
        <v>4</v>
      </c>
      <c r="L65" s="3">
        <f t="shared" si="7"/>
        <v>168</v>
      </c>
      <c r="N65" s="3">
        <f>46+36</f>
        <v>82</v>
      </c>
      <c r="P65" s="3">
        <v>16</v>
      </c>
    </row>
    <row r="66" spans="2:16" ht="12" customHeight="1">
      <c r="B66" s="9" t="s">
        <v>57</v>
      </c>
      <c r="C66" s="3">
        <f t="shared" si="6"/>
        <v>403</v>
      </c>
      <c r="D66" s="3">
        <v>136</v>
      </c>
      <c r="E66" s="3">
        <v>267</v>
      </c>
      <c r="H66" s="3">
        <f>5+7</f>
        <v>12</v>
      </c>
      <c r="I66" s="3">
        <v>10</v>
      </c>
      <c r="J66" s="3">
        <v>14</v>
      </c>
      <c r="L66" s="3">
        <f t="shared" si="7"/>
        <v>316</v>
      </c>
      <c r="N66" s="3">
        <v>87</v>
      </c>
      <c r="P66" s="3">
        <v>10</v>
      </c>
    </row>
    <row r="67" spans="2:14" ht="12" customHeight="1">
      <c r="B67" s="9" t="s">
        <v>58</v>
      </c>
      <c r="C67" s="3">
        <f t="shared" si="6"/>
        <v>81</v>
      </c>
      <c r="D67" s="3">
        <v>21</v>
      </c>
      <c r="E67" s="3">
        <v>60</v>
      </c>
      <c r="H67" s="3">
        <v>2</v>
      </c>
      <c r="I67" s="3">
        <v>2</v>
      </c>
      <c r="J67" s="3">
        <v>2</v>
      </c>
      <c r="L67" s="3">
        <f t="shared" si="7"/>
        <v>68</v>
      </c>
      <c r="N67" s="3">
        <v>13</v>
      </c>
    </row>
    <row r="68" spans="2:16" ht="12" customHeight="1">
      <c r="B68" s="9" t="s">
        <v>59</v>
      </c>
      <c r="C68" s="3">
        <f t="shared" si="6"/>
        <v>163</v>
      </c>
      <c r="D68" s="3">
        <v>81</v>
      </c>
      <c r="E68" s="3">
        <v>82</v>
      </c>
      <c r="G68" s="3">
        <v>1</v>
      </c>
      <c r="H68" s="3">
        <v>1</v>
      </c>
      <c r="I68" s="3">
        <v>3</v>
      </c>
      <c r="J68" s="3">
        <v>6</v>
      </c>
      <c r="L68" s="3">
        <f t="shared" si="7"/>
        <v>138</v>
      </c>
      <c r="N68" s="3">
        <v>25</v>
      </c>
      <c r="P68" s="3">
        <v>2</v>
      </c>
    </row>
    <row r="69" spans="2:16" ht="12" customHeight="1">
      <c r="B69" s="9" t="s">
        <v>60</v>
      </c>
      <c r="C69" s="3">
        <f t="shared" si="6"/>
        <v>82</v>
      </c>
      <c r="D69" s="3">
        <v>58</v>
      </c>
      <c r="E69" s="3">
        <v>24</v>
      </c>
      <c r="G69" s="3">
        <v>1</v>
      </c>
      <c r="H69" s="3">
        <v>2</v>
      </c>
      <c r="J69" s="3">
        <v>1</v>
      </c>
      <c r="L69" s="3">
        <f t="shared" si="7"/>
        <v>64</v>
      </c>
      <c r="N69" s="3">
        <v>18</v>
      </c>
      <c r="P69" s="3">
        <v>1</v>
      </c>
    </row>
    <row r="70" spans="2:16" ht="12" customHeight="1">
      <c r="B70" s="9" t="s">
        <v>61</v>
      </c>
      <c r="C70" s="3">
        <f t="shared" si="6"/>
        <v>186</v>
      </c>
      <c r="D70" s="3">
        <v>65</v>
      </c>
      <c r="E70" s="3">
        <v>121</v>
      </c>
      <c r="H70" s="3">
        <v>1</v>
      </c>
      <c r="I70" s="3">
        <v>4</v>
      </c>
      <c r="J70" s="3">
        <v>3</v>
      </c>
      <c r="L70" s="3">
        <f t="shared" si="7"/>
        <v>148</v>
      </c>
      <c r="N70" s="3">
        <v>38</v>
      </c>
      <c r="P70" s="3">
        <v>8</v>
      </c>
    </row>
    <row r="71" spans="2:16" ht="12" customHeight="1">
      <c r="B71" s="9" t="s">
        <v>62</v>
      </c>
      <c r="C71" s="3">
        <f t="shared" si="6"/>
        <v>115</v>
      </c>
      <c r="D71" s="3">
        <v>8</v>
      </c>
      <c r="E71" s="3">
        <v>107</v>
      </c>
      <c r="G71" s="3">
        <v>1</v>
      </c>
      <c r="I71" s="3">
        <v>1</v>
      </c>
      <c r="J71" s="3">
        <v>2</v>
      </c>
      <c r="L71" s="3">
        <f t="shared" si="7"/>
        <v>88</v>
      </c>
      <c r="N71" s="3">
        <v>27</v>
      </c>
      <c r="P71" s="3">
        <v>4</v>
      </c>
    </row>
    <row r="72" spans="2:16" ht="12" customHeight="1">
      <c r="B72" s="9" t="s">
        <v>63</v>
      </c>
      <c r="C72" s="3">
        <f t="shared" si="6"/>
        <v>114</v>
      </c>
      <c r="D72" s="3">
        <v>70</v>
      </c>
      <c r="E72" s="3">
        <v>44</v>
      </c>
      <c r="H72" s="3">
        <v>1</v>
      </c>
      <c r="I72" s="3">
        <v>3</v>
      </c>
      <c r="J72" s="3">
        <v>2</v>
      </c>
      <c r="L72" s="3">
        <f t="shared" si="7"/>
        <v>86</v>
      </c>
      <c r="N72" s="3">
        <v>28</v>
      </c>
      <c r="P72" s="3">
        <v>1</v>
      </c>
    </row>
    <row r="73" spans="2:16" ht="12" customHeight="1">
      <c r="B73" s="9" t="s">
        <v>64</v>
      </c>
      <c r="C73" s="3">
        <f t="shared" si="6"/>
        <v>337</v>
      </c>
      <c r="D73" s="3">
        <v>225</v>
      </c>
      <c r="E73" s="3">
        <v>112</v>
      </c>
      <c r="G73" s="3">
        <v>3</v>
      </c>
      <c r="H73" s="3">
        <v>9</v>
      </c>
      <c r="I73" s="3">
        <v>9</v>
      </c>
      <c r="J73" s="3">
        <v>8</v>
      </c>
      <c r="L73" s="3">
        <f t="shared" si="7"/>
        <v>225</v>
      </c>
      <c r="N73" s="3">
        <f>80+32</f>
        <v>112</v>
      </c>
      <c r="P73" s="3">
        <v>7</v>
      </c>
    </row>
    <row r="74" spans="2:16" ht="12" customHeight="1">
      <c r="B74" s="9" t="s">
        <v>65</v>
      </c>
      <c r="C74" s="3">
        <f t="shared" si="6"/>
        <v>66</v>
      </c>
      <c r="D74" s="3">
        <v>46</v>
      </c>
      <c r="E74" s="3">
        <v>20</v>
      </c>
      <c r="H74" s="3">
        <v>2</v>
      </c>
      <c r="J74" s="3">
        <v>1</v>
      </c>
      <c r="L74" s="3">
        <f t="shared" si="7"/>
        <v>45</v>
      </c>
      <c r="N74" s="3">
        <v>21</v>
      </c>
      <c r="P74" s="3">
        <v>1</v>
      </c>
    </row>
    <row r="76" spans="1:16" ht="12.75">
      <c r="A76" s="9" t="s">
        <v>5</v>
      </c>
      <c r="C76" s="3">
        <f>SUM(C63:C74)</f>
        <v>1814</v>
      </c>
      <c r="D76" s="3">
        <f>SUM(D63:D74)</f>
        <v>874</v>
      </c>
      <c r="E76" s="3">
        <f>SUM(E63:E74)</f>
        <v>940</v>
      </c>
      <c r="G76" s="3">
        <f>SUM(G63:G74)</f>
        <v>6</v>
      </c>
      <c r="H76" s="3">
        <f>SUM(H63:H74)</f>
        <v>32</v>
      </c>
      <c r="I76" s="3">
        <f>SUM(I63:I74)</f>
        <v>41</v>
      </c>
      <c r="J76" s="3">
        <f>SUM(J63:J74)</f>
        <v>43</v>
      </c>
      <c r="L76" s="3">
        <f>SUM(L63:L74)</f>
        <v>1359</v>
      </c>
      <c r="N76" s="3">
        <f>SUM(N63:N74)</f>
        <v>455</v>
      </c>
      <c r="P76" s="3">
        <f>SUM(P63:P74)</f>
        <v>52</v>
      </c>
    </row>
    <row r="80" spans="8:16" ht="12.75">
      <c r="H80" s="4" t="s">
        <v>1</v>
      </c>
      <c r="N80" s="5" t="s">
        <v>2</v>
      </c>
      <c r="P80" s="5" t="s">
        <v>3</v>
      </c>
    </row>
    <row r="81" spans="1:16" ht="12.75">
      <c r="A81" s="4" t="s">
        <v>66</v>
      </c>
      <c r="B81" s="6"/>
      <c r="C81" s="7" t="s">
        <v>5</v>
      </c>
      <c r="D81" s="7" t="s">
        <v>6</v>
      </c>
      <c r="E81" s="7" t="s">
        <v>7</v>
      </c>
      <c r="F81" s="6"/>
      <c r="G81" s="7" t="s">
        <v>8</v>
      </c>
      <c r="H81" s="7" t="s">
        <v>9</v>
      </c>
      <c r="I81" s="7" t="s">
        <v>10</v>
      </c>
      <c r="J81" s="7" t="s">
        <v>11</v>
      </c>
      <c r="K81" s="6"/>
      <c r="L81" s="8" t="s">
        <v>12</v>
      </c>
      <c r="M81" s="6"/>
      <c r="N81" s="8" t="s">
        <v>13</v>
      </c>
      <c r="O81" s="6"/>
      <c r="P81" s="8" t="s">
        <v>14</v>
      </c>
    </row>
    <row r="82" spans="2:16" ht="12" customHeight="1">
      <c r="B82" s="9" t="s">
        <v>67</v>
      </c>
      <c r="C82" s="3">
        <f aca="true" t="shared" si="8" ref="C82:C88">D82+E82</f>
        <v>3</v>
      </c>
      <c r="D82" s="3">
        <v>1</v>
      </c>
      <c r="E82" s="3">
        <v>2</v>
      </c>
      <c r="L82" s="3">
        <f aca="true" t="shared" si="9" ref="L82:L88">(C82-N82)</f>
        <v>1</v>
      </c>
      <c r="N82" s="3">
        <v>2</v>
      </c>
      <c r="P82" s="3">
        <v>1</v>
      </c>
    </row>
    <row r="83" spans="2:12" ht="12" customHeight="1">
      <c r="B83" s="9" t="s">
        <v>68</v>
      </c>
      <c r="C83" s="3">
        <f t="shared" si="8"/>
        <v>0</v>
      </c>
      <c r="D83" s="3">
        <v>0</v>
      </c>
      <c r="E83" s="3">
        <v>0</v>
      </c>
      <c r="L83" s="3">
        <f t="shared" si="9"/>
        <v>0</v>
      </c>
    </row>
    <row r="84" spans="2:14" ht="12" customHeight="1">
      <c r="B84" s="9" t="s">
        <v>69</v>
      </c>
      <c r="C84" s="3">
        <f t="shared" si="8"/>
        <v>49</v>
      </c>
      <c r="D84" s="3">
        <v>2</v>
      </c>
      <c r="E84" s="3">
        <v>47</v>
      </c>
      <c r="H84" s="3">
        <v>3</v>
      </c>
      <c r="I84" s="3">
        <v>1</v>
      </c>
      <c r="L84" s="3">
        <f t="shared" si="9"/>
        <v>44</v>
      </c>
      <c r="N84" s="3">
        <v>5</v>
      </c>
    </row>
    <row r="85" spans="2:16" ht="12.75">
      <c r="B85" s="9" t="s">
        <v>70</v>
      </c>
      <c r="C85" s="3">
        <f t="shared" si="8"/>
        <v>166</v>
      </c>
      <c r="D85" s="3">
        <v>4</v>
      </c>
      <c r="E85" s="3">
        <v>162</v>
      </c>
      <c r="H85" s="3">
        <v>1</v>
      </c>
      <c r="I85" s="3">
        <v>2</v>
      </c>
      <c r="J85" s="3">
        <v>1</v>
      </c>
      <c r="L85" s="3">
        <f t="shared" si="9"/>
        <v>153</v>
      </c>
      <c r="N85" s="3">
        <v>13</v>
      </c>
      <c r="P85" s="3">
        <v>1</v>
      </c>
    </row>
    <row r="86" spans="2:16" ht="12" customHeight="1">
      <c r="B86" s="9" t="s">
        <v>71</v>
      </c>
      <c r="C86" s="3">
        <f t="shared" si="8"/>
        <v>767</v>
      </c>
      <c r="D86" s="3">
        <v>114</v>
      </c>
      <c r="E86" s="3">
        <v>653</v>
      </c>
      <c r="G86" s="3">
        <v>2</v>
      </c>
      <c r="H86" s="3">
        <v>14</v>
      </c>
      <c r="I86" s="3">
        <v>13</v>
      </c>
      <c r="J86" s="3">
        <v>12</v>
      </c>
      <c r="L86" s="3">
        <f t="shared" si="9"/>
        <v>675</v>
      </c>
      <c r="N86" s="3">
        <f>6+86</f>
        <v>92</v>
      </c>
      <c r="P86" s="3">
        <v>2</v>
      </c>
    </row>
    <row r="87" spans="2:16" ht="12" customHeight="1">
      <c r="B87" s="9" t="s">
        <v>72</v>
      </c>
      <c r="C87" s="3">
        <f t="shared" si="8"/>
        <v>743</v>
      </c>
      <c r="D87" s="3">
        <v>393</v>
      </c>
      <c r="E87" s="3">
        <v>350</v>
      </c>
      <c r="G87" s="3">
        <v>4</v>
      </c>
      <c r="H87" s="3">
        <v>30</v>
      </c>
      <c r="I87" s="3">
        <v>10</v>
      </c>
      <c r="J87" s="3">
        <v>14</v>
      </c>
      <c r="L87" s="3">
        <f t="shared" si="9"/>
        <v>594</v>
      </c>
      <c r="N87" s="3">
        <f>75+74</f>
        <v>149</v>
      </c>
      <c r="P87" s="3">
        <v>9</v>
      </c>
    </row>
    <row r="88" spans="2:16" ht="12" customHeight="1">
      <c r="B88" s="9" t="s">
        <v>74</v>
      </c>
      <c r="C88" s="3">
        <f t="shared" si="8"/>
        <v>220</v>
      </c>
      <c r="D88" s="3">
        <v>210</v>
      </c>
      <c r="E88" s="3">
        <v>10</v>
      </c>
      <c r="G88" s="3">
        <v>2</v>
      </c>
      <c r="H88" s="3">
        <v>12</v>
      </c>
      <c r="I88" s="3">
        <v>7</v>
      </c>
      <c r="J88" s="3">
        <v>6</v>
      </c>
      <c r="L88" s="3">
        <f t="shared" si="9"/>
        <v>189</v>
      </c>
      <c r="N88" s="3">
        <v>31</v>
      </c>
      <c r="P88" s="3">
        <v>4</v>
      </c>
    </row>
    <row r="90" spans="1:16" ht="12.75">
      <c r="A90" s="9" t="s">
        <v>5</v>
      </c>
      <c r="C90" s="3">
        <f>SUM(C82:C88)</f>
        <v>1948</v>
      </c>
      <c r="D90" s="3">
        <f>SUM(D82:D88)</f>
        <v>724</v>
      </c>
      <c r="E90" s="3">
        <f>SUM(E82:E88)</f>
        <v>1224</v>
      </c>
      <c r="G90" s="3">
        <f>SUM(G82:G88)</f>
        <v>8</v>
      </c>
      <c r="H90" s="3">
        <f>SUM(H82:H88)</f>
        <v>60</v>
      </c>
      <c r="I90" s="3">
        <f>SUM(I82:I88)</f>
        <v>33</v>
      </c>
      <c r="J90" s="3">
        <f>SUM(J82:J88)</f>
        <v>33</v>
      </c>
      <c r="L90" s="3">
        <f>SUM(L82:L88)</f>
        <v>1656</v>
      </c>
      <c r="N90" s="3">
        <f>SUM(N82:N88)</f>
        <v>292</v>
      </c>
      <c r="P90" s="3">
        <f>SUM(P82:P88)</f>
        <v>17</v>
      </c>
    </row>
    <row r="92" spans="1:17" ht="15.75">
      <c r="A92" s="1" t="s">
        <v>224</v>
      </c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</row>
    <row r="94" spans="8:16" ht="12.75">
      <c r="H94" s="4" t="s">
        <v>1</v>
      </c>
      <c r="N94" s="5" t="s">
        <v>2</v>
      </c>
      <c r="P94" s="5" t="s">
        <v>3</v>
      </c>
    </row>
    <row r="95" spans="1:16" ht="12.75">
      <c r="A95" s="4" t="s">
        <v>75</v>
      </c>
      <c r="B95" s="6"/>
      <c r="C95" s="7" t="s">
        <v>5</v>
      </c>
      <c r="D95" s="7" t="s">
        <v>6</v>
      </c>
      <c r="E95" s="7" t="s">
        <v>7</v>
      </c>
      <c r="F95" s="6"/>
      <c r="G95" s="7" t="s">
        <v>8</v>
      </c>
      <c r="H95" s="7" t="s">
        <v>9</v>
      </c>
      <c r="I95" s="7" t="s">
        <v>10</v>
      </c>
      <c r="J95" s="7" t="s">
        <v>11</v>
      </c>
      <c r="K95" s="6"/>
      <c r="L95" s="8" t="s">
        <v>12</v>
      </c>
      <c r="M95" s="6"/>
      <c r="N95" s="8" t="s">
        <v>13</v>
      </c>
      <c r="O95" s="6"/>
      <c r="P95" s="8" t="s">
        <v>14</v>
      </c>
    </row>
    <row r="96" spans="2:16" ht="12" customHeight="1">
      <c r="B96" s="9" t="s">
        <v>76</v>
      </c>
      <c r="C96" s="3">
        <f aca="true" t="shared" si="10" ref="C96:C110">D96+E96</f>
        <v>56</v>
      </c>
      <c r="D96" s="3">
        <v>45</v>
      </c>
      <c r="E96" s="3">
        <v>11</v>
      </c>
      <c r="G96" s="3">
        <v>1</v>
      </c>
      <c r="J96" s="3">
        <v>1</v>
      </c>
      <c r="L96" s="3">
        <f aca="true" t="shared" si="11" ref="L96:L110">(C96-N96)</f>
        <v>10</v>
      </c>
      <c r="N96" s="3">
        <v>46</v>
      </c>
      <c r="P96" s="3">
        <v>39</v>
      </c>
    </row>
    <row r="97" spans="2:16" ht="12" customHeight="1">
      <c r="B97" s="9" t="s">
        <v>164</v>
      </c>
      <c r="C97" s="3">
        <f>D97+E97</f>
        <v>410</v>
      </c>
      <c r="D97" s="3">
        <v>318</v>
      </c>
      <c r="E97" s="3">
        <v>92</v>
      </c>
      <c r="H97" s="3">
        <v>7</v>
      </c>
      <c r="I97" s="3">
        <v>19</v>
      </c>
      <c r="J97" s="3">
        <v>4</v>
      </c>
      <c r="L97" s="3">
        <f>(C97-N97)</f>
        <v>300</v>
      </c>
      <c r="N97" s="3">
        <f>85+25</f>
        <v>110</v>
      </c>
      <c r="P97" s="3">
        <v>2</v>
      </c>
    </row>
    <row r="98" spans="2:16" ht="12" customHeight="1">
      <c r="B98" s="9" t="s">
        <v>77</v>
      </c>
      <c r="C98" s="3">
        <f t="shared" si="10"/>
        <v>380</v>
      </c>
      <c r="D98" s="3">
        <v>338</v>
      </c>
      <c r="E98" s="3">
        <v>42</v>
      </c>
      <c r="G98" s="3">
        <v>1</v>
      </c>
      <c r="H98" s="3">
        <v>10</v>
      </c>
      <c r="I98" s="3">
        <v>5</v>
      </c>
      <c r="J98" s="3">
        <v>13</v>
      </c>
      <c r="L98" s="3">
        <f t="shared" si="11"/>
        <v>183</v>
      </c>
      <c r="N98" s="3">
        <f>168+29</f>
        <v>197</v>
      </c>
      <c r="P98" s="3">
        <v>17</v>
      </c>
    </row>
    <row r="99" spans="2:14" ht="12" customHeight="1">
      <c r="B99" s="9" t="s">
        <v>78</v>
      </c>
      <c r="C99" s="3">
        <f t="shared" si="10"/>
        <v>141</v>
      </c>
      <c r="D99" s="3">
        <v>129</v>
      </c>
      <c r="E99" s="3">
        <v>12</v>
      </c>
      <c r="L99" s="3">
        <f t="shared" si="11"/>
        <v>118</v>
      </c>
      <c r="N99" s="3">
        <v>23</v>
      </c>
    </row>
    <row r="100" spans="2:16" ht="12" customHeight="1">
      <c r="B100" s="9" t="s">
        <v>79</v>
      </c>
      <c r="C100" s="3">
        <f t="shared" si="10"/>
        <v>336</v>
      </c>
      <c r="D100" s="3">
        <v>196</v>
      </c>
      <c r="E100" s="3">
        <v>140</v>
      </c>
      <c r="G100" s="3">
        <v>3</v>
      </c>
      <c r="H100" s="3">
        <v>10</v>
      </c>
      <c r="I100" s="3">
        <v>10</v>
      </c>
      <c r="J100" s="3">
        <v>17</v>
      </c>
      <c r="L100" s="3">
        <f t="shared" si="11"/>
        <v>204</v>
      </c>
      <c r="N100" s="3">
        <f>67+65</f>
        <v>132</v>
      </c>
      <c r="P100" s="3">
        <v>15</v>
      </c>
    </row>
    <row r="101" spans="2:16" ht="12" customHeight="1">
      <c r="B101" s="9" t="s">
        <v>80</v>
      </c>
      <c r="C101" s="3">
        <f t="shared" si="10"/>
        <v>406</v>
      </c>
      <c r="D101" s="3">
        <v>324</v>
      </c>
      <c r="E101" s="3">
        <v>82</v>
      </c>
      <c r="H101" s="3">
        <v>12</v>
      </c>
      <c r="I101" s="3">
        <v>7</v>
      </c>
      <c r="J101" s="3">
        <v>5</v>
      </c>
      <c r="L101" s="3">
        <f t="shared" si="11"/>
        <v>306</v>
      </c>
      <c r="N101" s="3">
        <f>77+23</f>
        <v>100</v>
      </c>
      <c r="P101" s="3">
        <v>8</v>
      </c>
    </row>
    <row r="102" spans="2:16" ht="12" customHeight="1">
      <c r="B102" s="9" t="s">
        <v>81</v>
      </c>
      <c r="C102" s="3">
        <f t="shared" si="10"/>
        <v>908</v>
      </c>
      <c r="D102" s="3">
        <v>827</v>
      </c>
      <c r="E102" s="3">
        <v>81</v>
      </c>
      <c r="G102" s="3">
        <v>2</v>
      </c>
      <c r="H102" s="3">
        <v>30</v>
      </c>
      <c r="I102" s="3">
        <v>56</v>
      </c>
      <c r="J102" s="3">
        <v>25</v>
      </c>
      <c r="L102" s="3">
        <f t="shared" si="11"/>
        <v>539</v>
      </c>
      <c r="N102" s="3">
        <f>329+40</f>
        <v>369</v>
      </c>
      <c r="P102" s="3">
        <f>107+17</f>
        <v>124</v>
      </c>
    </row>
    <row r="103" spans="2:16" ht="12" customHeight="1">
      <c r="B103" s="9" t="s">
        <v>82</v>
      </c>
      <c r="C103" s="3">
        <f t="shared" si="10"/>
        <v>348</v>
      </c>
      <c r="D103" s="3">
        <v>315</v>
      </c>
      <c r="E103" s="3">
        <v>33</v>
      </c>
      <c r="G103" s="3">
        <v>2</v>
      </c>
      <c r="H103" s="3">
        <v>3</v>
      </c>
      <c r="I103" s="3">
        <v>3</v>
      </c>
      <c r="J103" s="3">
        <v>4</v>
      </c>
      <c r="L103" s="3">
        <f t="shared" si="11"/>
        <v>272</v>
      </c>
      <c r="N103" s="3">
        <v>76</v>
      </c>
      <c r="P103" s="3">
        <v>5</v>
      </c>
    </row>
    <row r="104" spans="2:16" ht="12" customHeight="1">
      <c r="B104" s="9" t="s">
        <v>83</v>
      </c>
      <c r="C104" s="3">
        <f t="shared" si="10"/>
        <v>548</v>
      </c>
      <c r="D104" s="3">
        <v>509</v>
      </c>
      <c r="E104" s="3">
        <v>39</v>
      </c>
      <c r="G104" s="3">
        <v>2</v>
      </c>
      <c r="H104" s="3">
        <v>26</v>
      </c>
      <c r="I104" s="3">
        <v>37</v>
      </c>
      <c r="J104" s="3">
        <v>9</v>
      </c>
      <c r="L104" s="3">
        <f t="shared" si="11"/>
        <v>326</v>
      </c>
      <c r="N104" s="3">
        <f>198+24</f>
        <v>222</v>
      </c>
      <c r="P104" s="3">
        <f>86+12</f>
        <v>98</v>
      </c>
    </row>
    <row r="105" spans="2:14" ht="12" customHeight="1">
      <c r="B105" s="9" t="s">
        <v>225</v>
      </c>
      <c r="C105" s="3">
        <f t="shared" si="10"/>
        <v>5</v>
      </c>
      <c r="D105" s="3">
        <v>3</v>
      </c>
      <c r="E105" s="3">
        <v>2</v>
      </c>
      <c r="H105" s="3">
        <v>1</v>
      </c>
      <c r="L105" s="3">
        <f t="shared" si="11"/>
        <v>4</v>
      </c>
      <c r="N105" s="3">
        <v>1</v>
      </c>
    </row>
    <row r="106" spans="2:12" ht="12" customHeight="1">
      <c r="B106" s="9" t="s">
        <v>84</v>
      </c>
      <c r="C106" s="3">
        <f t="shared" si="10"/>
        <v>3</v>
      </c>
      <c r="D106" s="3">
        <v>3</v>
      </c>
      <c r="E106" s="3">
        <v>0</v>
      </c>
      <c r="G106" s="3">
        <v>1</v>
      </c>
      <c r="L106" s="3">
        <f t="shared" si="11"/>
        <v>3</v>
      </c>
    </row>
    <row r="107" spans="2:14" ht="12" customHeight="1">
      <c r="B107" s="9" t="s">
        <v>85</v>
      </c>
      <c r="C107" s="3">
        <f t="shared" si="10"/>
        <v>21</v>
      </c>
      <c r="D107" s="3">
        <v>9</v>
      </c>
      <c r="E107" s="3">
        <v>12</v>
      </c>
      <c r="I107" s="3">
        <v>2</v>
      </c>
      <c r="J107" s="3">
        <v>1</v>
      </c>
      <c r="L107" s="3">
        <f t="shared" si="11"/>
        <v>16</v>
      </c>
      <c r="N107" s="3">
        <v>5</v>
      </c>
    </row>
    <row r="108" spans="2:16" ht="12" customHeight="1">
      <c r="B108" s="9" t="s">
        <v>86</v>
      </c>
      <c r="C108" s="3">
        <f t="shared" si="10"/>
        <v>236</v>
      </c>
      <c r="D108" s="3">
        <v>143</v>
      </c>
      <c r="E108" s="3">
        <v>93</v>
      </c>
      <c r="H108" s="3">
        <v>6</v>
      </c>
      <c r="I108" s="3">
        <v>12</v>
      </c>
      <c r="J108" s="3">
        <v>2</v>
      </c>
      <c r="L108" s="3">
        <f t="shared" si="11"/>
        <v>127</v>
      </c>
      <c r="N108" s="3">
        <f>65+44</f>
        <v>109</v>
      </c>
      <c r="P108" s="3">
        <v>30</v>
      </c>
    </row>
    <row r="109" spans="2:16" ht="12" customHeight="1">
      <c r="B109" s="9" t="s">
        <v>165</v>
      </c>
      <c r="C109" s="3">
        <f>D109+E109</f>
        <v>128</v>
      </c>
      <c r="D109" s="3">
        <v>88</v>
      </c>
      <c r="E109" s="3">
        <v>40</v>
      </c>
      <c r="I109" s="3">
        <v>4</v>
      </c>
      <c r="J109" s="3">
        <v>5</v>
      </c>
      <c r="L109" s="3">
        <f>(C109-N109)</f>
        <v>91</v>
      </c>
      <c r="N109" s="3">
        <f>26+11</f>
        <v>37</v>
      </c>
      <c r="P109" s="3">
        <v>2</v>
      </c>
    </row>
    <row r="110" spans="2:16" ht="12" customHeight="1">
      <c r="B110" s="9" t="s">
        <v>87</v>
      </c>
      <c r="C110" s="3">
        <f t="shared" si="10"/>
        <v>1037</v>
      </c>
      <c r="D110" s="3">
        <v>925</v>
      </c>
      <c r="E110" s="3">
        <v>112</v>
      </c>
      <c r="G110" s="3">
        <v>2</v>
      </c>
      <c r="H110" s="3">
        <v>16</v>
      </c>
      <c r="I110" s="3">
        <v>22</v>
      </c>
      <c r="J110" s="3">
        <v>24</v>
      </c>
      <c r="L110" s="3">
        <f t="shared" si="11"/>
        <v>700</v>
      </c>
      <c r="N110" s="3">
        <f>284+53</f>
        <v>337</v>
      </c>
      <c r="P110" s="3">
        <v>33</v>
      </c>
    </row>
    <row r="112" spans="1:16" ht="12.75">
      <c r="A112" s="9" t="s">
        <v>5</v>
      </c>
      <c r="C112" s="3">
        <f>SUM(C96:C110)</f>
        <v>4963</v>
      </c>
      <c r="D112" s="3">
        <f>SUM(D96:D110)</f>
        <v>4172</v>
      </c>
      <c r="E112" s="3">
        <f>SUM(E96:E110)</f>
        <v>791</v>
      </c>
      <c r="G112" s="3">
        <f>SUM(G96:G110)</f>
        <v>14</v>
      </c>
      <c r="H112" s="3">
        <f>SUM(H96:H110)</f>
        <v>121</v>
      </c>
      <c r="I112" s="3">
        <f>SUM(I96:I110)</f>
        <v>177</v>
      </c>
      <c r="J112" s="3">
        <f>SUM(J96:J110)</f>
        <v>110</v>
      </c>
      <c r="L112" s="3">
        <f>SUM(L96:L110)</f>
        <v>3199</v>
      </c>
      <c r="N112" s="3">
        <f>SUM(N96:N110)</f>
        <v>1764</v>
      </c>
      <c r="P112" s="3">
        <f>SUM(P96:P110)</f>
        <v>373</v>
      </c>
    </row>
    <row r="115" spans="8:16" ht="12.75">
      <c r="H115" s="4" t="s">
        <v>1</v>
      </c>
      <c r="N115" s="5" t="s">
        <v>2</v>
      </c>
      <c r="P115" s="5" t="s">
        <v>3</v>
      </c>
    </row>
    <row r="116" spans="1:16" ht="12.75">
      <c r="A116" s="4" t="s">
        <v>88</v>
      </c>
      <c r="B116" s="6"/>
      <c r="C116" s="7" t="s">
        <v>5</v>
      </c>
      <c r="D116" s="7" t="s">
        <v>6</v>
      </c>
      <c r="E116" s="7" t="s">
        <v>7</v>
      </c>
      <c r="F116" s="6"/>
      <c r="G116" s="7" t="s">
        <v>8</v>
      </c>
      <c r="H116" s="7" t="s">
        <v>9</v>
      </c>
      <c r="I116" s="7" t="s">
        <v>10</v>
      </c>
      <c r="J116" s="7" t="s">
        <v>11</v>
      </c>
      <c r="K116" s="6"/>
      <c r="L116" s="8" t="s">
        <v>12</v>
      </c>
      <c r="M116" s="6"/>
      <c r="N116" s="8" t="s">
        <v>13</v>
      </c>
      <c r="O116" s="6"/>
      <c r="P116" s="8" t="s">
        <v>14</v>
      </c>
    </row>
    <row r="117" spans="2:16" ht="12" customHeight="1">
      <c r="B117" s="9" t="s">
        <v>89</v>
      </c>
      <c r="C117" s="3">
        <f aca="true" t="shared" si="12" ref="C117:C129">D117+E117</f>
        <v>37</v>
      </c>
      <c r="D117" s="3">
        <v>5</v>
      </c>
      <c r="E117" s="3">
        <v>32</v>
      </c>
      <c r="I117" s="3">
        <v>1</v>
      </c>
      <c r="L117" s="3">
        <f aca="true" t="shared" si="13" ref="L117:L129">(C117-N117)</f>
        <v>25</v>
      </c>
      <c r="N117" s="3">
        <v>12</v>
      </c>
      <c r="P117" s="3">
        <v>5</v>
      </c>
    </row>
    <row r="118" spans="2:12" ht="12" customHeight="1">
      <c r="B118" s="9" t="s">
        <v>90</v>
      </c>
      <c r="C118" s="3">
        <f t="shared" si="12"/>
        <v>13</v>
      </c>
      <c r="D118" s="3">
        <v>0</v>
      </c>
      <c r="E118" s="3">
        <v>13</v>
      </c>
      <c r="L118" s="3">
        <f t="shared" si="13"/>
        <v>13</v>
      </c>
    </row>
    <row r="119" spans="2:16" ht="12.75">
      <c r="B119" s="9" t="s">
        <v>91</v>
      </c>
      <c r="C119" s="3">
        <f t="shared" si="12"/>
        <v>378</v>
      </c>
      <c r="D119" s="3">
        <v>12</v>
      </c>
      <c r="E119" s="3">
        <v>366</v>
      </c>
      <c r="H119" s="3">
        <v>22</v>
      </c>
      <c r="I119" s="3">
        <v>15</v>
      </c>
      <c r="J119" s="3">
        <v>6</v>
      </c>
      <c r="L119" s="3">
        <f t="shared" si="13"/>
        <v>306</v>
      </c>
      <c r="N119" s="3">
        <v>72</v>
      </c>
      <c r="P119" s="3">
        <v>6</v>
      </c>
    </row>
    <row r="120" spans="2:16" ht="12.75">
      <c r="B120" s="9" t="s">
        <v>92</v>
      </c>
      <c r="C120" s="3">
        <f t="shared" si="12"/>
        <v>245</v>
      </c>
      <c r="D120" s="3">
        <v>13</v>
      </c>
      <c r="E120" s="3">
        <v>232</v>
      </c>
      <c r="H120" s="3">
        <v>13</v>
      </c>
      <c r="I120" s="3">
        <v>4</v>
      </c>
      <c r="J120" s="3">
        <v>6</v>
      </c>
      <c r="L120" s="3">
        <f t="shared" si="13"/>
        <v>222</v>
      </c>
      <c r="N120" s="3">
        <v>23</v>
      </c>
      <c r="P120" s="3">
        <v>1</v>
      </c>
    </row>
    <row r="121" spans="2:16" ht="12" customHeight="1">
      <c r="B121" s="9" t="s">
        <v>93</v>
      </c>
      <c r="C121" s="3">
        <f t="shared" si="12"/>
        <v>136</v>
      </c>
      <c r="D121" s="3">
        <v>7</v>
      </c>
      <c r="E121" s="3">
        <v>129</v>
      </c>
      <c r="H121" s="3">
        <v>3</v>
      </c>
      <c r="I121" s="3">
        <v>3</v>
      </c>
      <c r="J121" s="3">
        <v>3</v>
      </c>
      <c r="L121" s="3">
        <f t="shared" si="13"/>
        <v>108</v>
      </c>
      <c r="N121" s="3">
        <v>28</v>
      </c>
      <c r="P121" s="3">
        <v>5</v>
      </c>
    </row>
    <row r="122" spans="2:14" ht="12.75">
      <c r="B122" s="9" t="s">
        <v>94</v>
      </c>
      <c r="C122" s="3">
        <f t="shared" si="12"/>
        <v>84</v>
      </c>
      <c r="D122" s="3">
        <v>1</v>
      </c>
      <c r="E122" s="3">
        <v>83</v>
      </c>
      <c r="H122" s="3">
        <v>1</v>
      </c>
      <c r="L122" s="3">
        <f t="shared" si="13"/>
        <v>77</v>
      </c>
      <c r="N122" s="3">
        <v>7</v>
      </c>
    </row>
    <row r="123" spans="2:16" ht="12.75">
      <c r="B123" s="9" t="s">
        <v>95</v>
      </c>
      <c r="C123" s="3">
        <f t="shared" si="12"/>
        <v>57</v>
      </c>
      <c r="D123" s="3">
        <v>4</v>
      </c>
      <c r="E123" s="3">
        <v>53</v>
      </c>
      <c r="J123" s="3">
        <v>1</v>
      </c>
      <c r="L123" s="3">
        <f t="shared" si="13"/>
        <v>53</v>
      </c>
      <c r="N123" s="3">
        <v>4</v>
      </c>
      <c r="P123" s="3">
        <v>1</v>
      </c>
    </row>
    <row r="124" spans="2:14" ht="12" customHeight="1">
      <c r="B124" s="9" t="s">
        <v>96</v>
      </c>
      <c r="C124" s="3">
        <f t="shared" si="12"/>
        <v>17</v>
      </c>
      <c r="D124" s="3">
        <v>6</v>
      </c>
      <c r="E124" s="3">
        <v>11</v>
      </c>
      <c r="H124" s="3">
        <v>2</v>
      </c>
      <c r="I124" s="3">
        <v>1</v>
      </c>
      <c r="L124" s="3">
        <f t="shared" si="13"/>
        <v>10</v>
      </c>
      <c r="N124" s="3">
        <v>7</v>
      </c>
    </row>
    <row r="125" spans="2:16" ht="12.75">
      <c r="B125" s="9" t="s">
        <v>97</v>
      </c>
      <c r="C125" s="3">
        <f t="shared" si="12"/>
        <v>47</v>
      </c>
      <c r="D125" s="3">
        <v>11</v>
      </c>
      <c r="E125" s="3">
        <v>36</v>
      </c>
      <c r="H125" s="3">
        <v>1</v>
      </c>
      <c r="I125" s="3">
        <v>2</v>
      </c>
      <c r="J125" s="3">
        <v>1</v>
      </c>
      <c r="L125" s="3">
        <f t="shared" si="13"/>
        <v>26</v>
      </c>
      <c r="N125" s="3">
        <v>21</v>
      </c>
      <c r="P125" s="3">
        <v>12</v>
      </c>
    </row>
    <row r="126" spans="2:16" ht="12" customHeight="1">
      <c r="B126" s="9" t="s">
        <v>98</v>
      </c>
      <c r="C126" s="3">
        <f t="shared" si="12"/>
        <v>164</v>
      </c>
      <c r="D126" s="3">
        <v>69</v>
      </c>
      <c r="E126" s="3">
        <v>95</v>
      </c>
      <c r="H126" s="3">
        <v>4</v>
      </c>
      <c r="I126" s="3">
        <v>7</v>
      </c>
      <c r="J126" s="3">
        <v>2</v>
      </c>
      <c r="L126" s="3">
        <f t="shared" si="13"/>
        <v>123</v>
      </c>
      <c r="N126" s="3">
        <f>12+29</f>
        <v>41</v>
      </c>
      <c r="P126" s="3">
        <v>16</v>
      </c>
    </row>
    <row r="127" spans="2:16" ht="12" customHeight="1">
      <c r="B127" s="9" t="s">
        <v>99</v>
      </c>
      <c r="C127" s="3">
        <f t="shared" si="12"/>
        <v>8</v>
      </c>
      <c r="D127" s="3">
        <v>1</v>
      </c>
      <c r="E127" s="3">
        <v>7</v>
      </c>
      <c r="L127" s="3">
        <f t="shared" si="13"/>
        <v>7</v>
      </c>
      <c r="N127" s="3">
        <v>1</v>
      </c>
      <c r="P127" s="3">
        <v>1</v>
      </c>
    </row>
    <row r="128" spans="2:16" ht="12" customHeight="1">
      <c r="B128" s="9" t="s">
        <v>101</v>
      </c>
      <c r="C128" s="3">
        <f t="shared" si="12"/>
        <v>23</v>
      </c>
      <c r="D128" s="3">
        <v>4</v>
      </c>
      <c r="E128" s="3">
        <v>19</v>
      </c>
      <c r="I128" s="3">
        <v>1</v>
      </c>
      <c r="J128" s="3">
        <v>1</v>
      </c>
      <c r="L128" s="3">
        <f t="shared" si="13"/>
        <v>11</v>
      </c>
      <c r="N128" s="3">
        <v>12</v>
      </c>
      <c r="P128" s="3">
        <v>6</v>
      </c>
    </row>
    <row r="129" spans="2:12" ht="12.75">
      <c r="B129" s="9" t="s">
        <v>102</v>
      </c>
      <c r="C129" s="3">
        <f t="shared" si="12"/>
        <v>0</v>
      </c>
      <c r="D129" s="3">
        <v>0</v>
      </c>
      <c r="E129" s="3">
        <v>0</v>
      </c>
      <c r="L129" s="3">
        <f t="shared" si="13"/>
        <v>0</v>
      </c>
    </row>
    <row r="131" spans="1:16" ht="12.75">
      <c r="A131" s="9" t="s">
        <v>5</v>
      </c>
      <c r="C131" s="3">
        <f>SUM(C117:C129)</f>
        <v>1209</v>
      </c>
      <c r="D131" s="3">
        <f>SUM(D117:D129)</f>
        <v>133</v>
      </c>
      <c r="E131" s="3">
        <f>SUM(E117:E129)</f>
        <v>1076</v>
      </c>
      <c r="G131" s="3">
        <f>SUM(G117:G129)</f>
        <v>0</v>
      </c>
      <c r="H131" s="3">
        <f>SUM(H117:H129)</f>
        <v>46</v>
      </c>
      <c r="I131" s="3">
        <f>SUM(I117:I129)</f>
        <v>34</v>
      </c>
      <c r="J131" s="3">
        <f>SUM(J117:J129)</f>
        <v>20</v>
      </c>
      <c r="L131" s="3">
        <f>SUM(L117:L129)</f>
        <v>981</v>
      </c>
      <c r="N131" s="3">
        <f>SUM(N117:N129)</f>
        <v>228</v>
      </c>
      <c r="P131" s="3">
        <f>SUM(P117:P129)</f>
        <v>53</v>
      </c>
    </row>
    <row r="134" ht="12.75">
      <c r="A134" s="9"/>
    </row>
    <row r="135" ht="12.75">
      <c r="A135" s="10"/>
    </row>
    <row r="136" spans="1:17" ht="15.75">
      <c r="A136" s="1" t="s">
        <v>224</v>
      </c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</row>
    <row r="138" spans="8:16" ht="12.75">
      <c r="H138" s="4" t="s">
        <v>1</v>
      </c>
      <c r="N138" s="5" t="s">
        <v>2</v>
      </c>
      <c r="P138" s="5" t="s">
        <v>3</v>
      </c>
    </row>
    <row r="139" spans="1:16" ht="12.75">
      <c r="A139" s="4" t="s">
        <v>103</v>
      </c>
      <c r="B139" s="6"/>
      <c r="C139" s="7" t="s">
        <v>5</v>
      </c>
      <c r="D139" s="7" t="s">
        <v>6</v>
      </c>
      <c r="E139" s="7" t="s">
        <v>7</v>
      </c>
      <c r="F139" s="6"/>
      <c r="G139" s="7" t="s">
        <v>8</v>
      </c>
      <c r="H139" s="7" t="s">
        <v>9</v>
      </c>
      <c r="I139" s="7" t="s">
        <v>10</v>
      </c>
      <c r="J139" s="7" t="s">
        <v>11</v>
      </c>
      <c r="K139" s="6"/>
      <c r="L139" s="8" t="s">
        <v>12</v>
      </c>
      <c r="M139" s="6"/>
      <c r="N139" s="8" t="s">
        <v>13</v>
      </c>
      <c r="O139" s="6"/>
      <c r="P139" s="8" t="s">
        <v>14</v>
      </c>
    </row>
    <row r="140" spans="2:16" ht="12" customHeight="1">
      <c r="B140" s="9" t="s">
        <v>104</v>
      </c>
      <c r="C140" s="3">
        <f aca="true" t="shared" si="14" ref="C140:C173">D140+E140</f>
        <v>55</v>
      </c>
      <c r="D140" s="3">
        <v>23</v>
      </c>
      <c r="E140" s="3">
        <v>32</v>
      </c>
      <c r="J140" s="3">
        <v>1</v>
      </c>
      <c r="L140" s="3">
        <f aca="true" t="shared" si="15" ref="L140:L173">(C140-N140)</f>
        <v>1</v>
      </c>
      <c r="N140" s="3">
        <f>23+31</f>
        <v>54</v>
      </c>
      <c r="P140" s="3">
        <f>23+29</f>
        <v>52</v>
      </c>
    </row>
    <row r="141" spans="2:16" ht="12" customHeight="1">
      <c r="B141" s="9" t="s">
        <v>105</v>
      </c>
      <c r="C141" s="3">
        <f t="shared" si="14"/>
        <v>225</v>
      </c>
      <c r="D141" s="3">
        <v>101</v>
      </c>
      <c r="E141" s="3">
        <v>124</v>
      </c>
      <c r="G141" s="3">
        <v>2</v>
      </c>
      <c r="H141" s="3">
        <v>5</v>
      </c>
      <c r="I141" s="3">
        <v>15</v>
      </c>
      <c r="J141" s="3">
        <v>2</v>
      </c>
      <c r="L141" s="3">
        <f t="shared" si="15"/>
        <v>169</v>
      </c>
      <c r="N141" s="3">
        <f>22+34</f>
        <v>56</v>
      </c>
      <c r="P141" s="3">
        <f>10+15</f>
        <v>25</v>
      </c>
    </row>
    <row r="142" spans="2:16" ht="12" customHeight="1">
      <c r="B142" s="9" t="s">
        <v>106</v>
      </c>
      <c r="C142" s="3">
        <f t="shared" si="14"/>
        <v>771</v>
      </c>
      <c r="D142" s="3">
        <v>366</v>
      </c>
      <c r="E142" s="3">
        <v>405</v>
      </c>
      <c r="G142" s="3">
        <v>2</v>
      </c>
      <c r="H142" s="3">
        <v>23</v>
      </c>
      <c r="I142" s="3">
        <f>13+17</f>
        <v>30</v>
      </c>
      <c r="J142" s="3">
        <v>12</v>
      </c>
      <c r="L142" s="3">
        <f t="shared" si="15"/>
        <v>622</v>
      </c>
      <c r="N142" s="3">
        <f>77+72</f>
        <v>149</v>
      </c>
      <c r="P142" s="3">
        <v>9</v>
      </c>
    </row>
    <row r="143" spans="2:16" ht="12" customHeight="1">
      <c r="B143" s="9" t="s">
        <v>107</v>
      </c>
      <c r="C143" s="3">
        <f t="shared" si="14"/>
        <v>72</v>
      </c>
      <c r="D143" s="3">
        <v>23</v>
      </c>
      <c r="E143" s="3">
        <v>49</v>
      </c>
      <c r="I143" s="3">
        <v>3</v>
      </c>
      <c r="L143" s="3">
        <f t="shared" si="15"/>
        <v>64</v>
      </c>
      <c r="N143" s="3">
        <v>8</v>
      </c>
      <c r="P143" s="3">
        <v>2</v>
      </c>
    </row>
    <row r="144" spans="2:16" ht="12" customHeight="1">
      <c r="B144" s="9" t="s">
        <v>108</v>
      </c>
      <c r="C144" s="3">
        <f t="shared" si="14"/>
        <v>84</v>
      </c>
      <c r="D144" s="3">
        <v>23</v>
      </c>
      <c r="E144" s="3">
        <v>61</v>
      </c>
      <c r="H144" s="3">
        <v>3</v>
      </c>
      <c r="I144" s="3">
        <v>1</v>
      </c>
      <c r="J144" s="3">
        <v>4</v>
      </c>
      <c r="L144" s="3">
        <f t="shared" si="15"/>
        <v>73</v>
      </c>
      <c r="N144" s="3">
        <v>11</v>
      </c>
      <c r="P144" s="3">
        <v>1</v>
      </c>
    </row>
    <row r="145" spans="2:12" ht="12" customHeight="1">
      <c r="B145" s="9" t="s">
        <v>163</v>
      </c>
      <c r="C145" s="3">
        <f>D145+E145</f>
        <v>0</v>
      </c>
      <c r="D145" s="3">
        <v>0</v>
      </c>
      <c r="E145" s="3">
        <v>0</v>
      </c>
      <c r="L145" s="3">
        <f>(C145-N145)</f>
        <v>0</v>
      </c>
    </row>
    <row r="146" spans="2:16" ht="12" customHeight="1">
      <c r="B146" s="9" t="s">
        <v>109</v>
      </c>
      <c r="C146" s="3">
        <f t="shared" si="14"/>
        <v>86</v>
      </c>
      <c r="D146" s="3">
        <v>42</v>
      </c>
      <c r="E146" s="3">
        <v>44</v>
      </c>
      <c r="G146" s="3">
        <v>2</v>
      </c>
      <c r="H146" s="3">
        <v>9</v>
      </c>
      <c r="I146" s="3">
        <v>6</v>
      </c>
      <c r="L146" s="3">
        <f t="shared" si="15"/>
        <v>53</v>
      </c>
      <c r="N146" s="3">
        <f>14+19</f>
        <v>33</v>
      </c>
      <c r="P146" s="3">
        <v>4</v>
      </c>
    </row>
    <row r="147" spans="2:14" ht="12" customHeight="1">
      <c r="B147" s="9" t="s">
        <v>110</v>
      </c>
      <c r="C147" s="3">
        <f t="shared" si="14"/>
        <v>10</v>
      </c>
      <c r="D147" s="3">
        <v>3</v>
      </c>
      <c r="E147" s="3">
        <v>7</v>
      </c>
      <c r="H147" s="3">
        <v>1</v>
      </c>
      <c r="L147" s="3">
        <f t="shared" si="15"/>
        <v>8</v>
      </c>
      <c r="N147" s="3">
        <v>2</v>
      </c>
    </row>
    <row r="148" spans="2:16" ht="12" customHeight="1">
      <c r="B148" s="9" t="s">
        <v>111</v>
      </c>
      <c r="C148" s="3">
        <f t="shared" si="14"/>
        <v>481</v>
      </c>
      <c r="D148" s="3">
        <v>172</v>
      </c>
      <c r="E148" s="3">
        <v>309</v>
      </c>
      <c r="G148" s="3">
        <v>2</v>
      </c>
      <c r="H148" s="3">
        <v>21</v>
      </c>
      <c r="I148" s="3">
        <f>8+13</f>
        <v>21</v>
      </c>
      <c r="J148" s="3">
        <v>9</v>
      </c>
      <c r="L148" s="3">
        <f t="shared" si="15"/>
        <v>373</v>
      </c>
      <c r="N148" s="3">
        <f>35+73</f>
        <v>108</v>
      </c>
      <c r="P148" s="3">
        <v>8</v>
      </c>
    </row>
    <row r="149" spans="2:16" ht="12" customHeight="1">
      <c r="B149" s="9" t="s">
        <v>112</v>
      </c>
      <c r="C149" s="3">
        <f t="shared" si="14"/>
        <v>10</v>
      </c>
      <c r="D149" s="3">
        <v>9</v>
      </c>
      <c r="E149" s="3">
        <v>1</v>
      </c>
      <c r="L149" s="3">
        <f t="shared" si="15"/>
        <v>5</v>
      </c>
      <c r="N149" s="3">
        <v>5</v>
      </c>
      <c r="P149" s="3">
        <v>2</v>
      </c>
    </row>
    <row r="150" spans="2:14" ht="12" customHeight="1">
      <c r="B150" s="9" t="s">
        <v>113</v>
      </c>
      <c r="C150" s="3">
        <f t="shared" si="14"/>
        <v>12</v>
      </c>
      <c r="D150" s="3">
        <v>8</v>
      </c>
      <c r="E150" s="3">
        <v>4</v>
      </c>
      <c r="L150" s="3">
        <f t="shared" si="15"/>
        <v>10</v>
      </c>
      <c r="N150" s="3">
        <v>2</v>
      </c>
    </row>
    <row r="151" spans="2:16" ht="12" customHeight="1">
      <c r="B151" s="9" t="s">
        <v>114</v>
      </c>
      <c r="C151" s="3">
        <f t="shared" si="14"/>
        <v>98</v>
      </c>
      <c r="D151" s="3">
        <v>55</v>
      </c>
      <c r="E151" s="3">
        <v>43</v>
      </c>
      <c r="H151" s="3">
        <v>2</v>
      </c>
      <c r="I151" s="3">
        <v>3</v>
      </c>
      <c r="J151" s="3">
        <v>2</v>
      </c>
      <c r="L151" s="3">
        <f t="shared" si="15"/>
        <v>68</v>
      </c>
      <c r="N151" s="3">
        <f>18+12</f>
        <v>30</v>
      </c>
      <c r="P151" s="3">
        <v>4</v>
      </c>
    </row>
    <row r="152" spans="2:16" ht="12" customHeight="1">
      <c r="B152" s="9" t="s">
        <v>166</v>
      </c>
      <c r="C152" s="3">
        <f>D152+E152</f>
        <v>163</v>
      </c>
      <c r="D152" s="3">
        <v>36</v>
      </c>
      <c r="E152" s="3">
        <v>127</v>
      </c>
      <c r="G152" s="3">
        <v>1</v>
      </c>
      <c r="H152" s="3">
        <v>3</v>
      </c>
      <c r="I152" s="3">
        <v>1</v>
      </c>
      <c r="J152" s="3">
        <v>2</v>
      </c>
      <c r="L152" s="3">
        <f>(C152-N152)</f>
        <v>144</v>
      </c>
      <c r="N152" s="3">
        <v>19</v>
      </c>
      <c r="P152" s="3">
        <v>1</v>
      </c>
    </row>
    <row r="153" spans="2:16" ht="12" customHeight="1">
      <c r="B153" s="9" t="s">
        <v>115</v>
      </c>
      <c r="C153" s="3">
        <f t="shared" si="14"/>
        <v>326</v>
      </c>
      <c r="D153" s="3">
        <v>278</v>
      </c>
      <c r="E153" s="3">
        <v>48</v>
      </c>
      <c r="G153" s="3">
        <v>2</v>
      </c>
      <c r="H153" s="3">
        <v>3</v>
      </c>
      <c r="I153" s="3">
        <v>12</v>
      </c>
      <c r="J153" s="3">
        <v>4</v>
      </c>
      <c r="L153" s="3">
        <f t="shared" si="15"/>
        <v>200</v>
      </c>
      <c r="N153" s="3">
        <f>97+29</f>
        <v>126</v>
      </c>
      <c r="P153" s="3">
        <f>54+27</f>
        <v>81</v>
      </c>
    </row>
    <row r="154" spans="2:12" ht="12" customHeight="1">
      <c r="B154" s="9" t="s">
        <v>116</v>
      </c>
      <c r="C154" s="3">
        <f t="shared" si="14"/>
        <v>5</v>
      </c>
      <c r="D154" s="3">
        <v>3</v>
      </c>
      <c r="E154" s="3">
        <v>2</v>
      </c>
      <c r="L154" s="3">
        <f t="shared" si="15"/>
        <v>5</v>
      </c>
    </row>
    <row r="155" spans="2:16" ht="12" customHeight="1">
      <c r="B155" s="9" t="s">
        <v>117</v>
      </c>
      <c r="C155" s="3">
        <f t="shared" si="14"/>
        <v>40</v>
      </c>
      <c r="D155" s="3">
        <v>27</v>
      </c>
      <c r="E155" s="3">
        <v>13</v>
      </c>
      <c r="H155" s="3">
        <v>4</v>
      </c>
      <c r="J155" s="3">
        <v>1</v>
      </c>
      <c r="L155" s="3">
        <f t="shared" si="15"/>
        <v>23</v>
      </c>
      <c r="N155" s="3">
        <f>13+4</f>
        <v>17</v>
      </c>
      <c r="P155" s="3">
        <v>7</v>
      </c>
    </row>
    <row r="156" spans="2:16" ht="12" customHeight="1">
      <c r="B156" s="9" t="s">
        <v>118</v>
      </c>
      <c r="C156" s="3">
        <f t="shared" si="14"/>
        <v>295</v>
      </c>
      <c r="D156" s="3">
        <v>99</v>
      </c>
      <c r="E156" s="3">
        <v>196</v>
      </c>
      <c r="G156" s="3">
        <v>1</v>
      </c>
      <c r="H156" s="3">
        <v>11</v>
      </c>
      <c r="I156" s="3">
        <v>5</v>
      </c>
      <c r="J156" s="3">
        <v>2</v>
      </c>
      <c r="L156" s="3">
        <f t="shared" si="15"/>
        <v>249</v>
      </c>
      <c r="N156" s="3">
        <f>16+30</f>
        <v>46</v>
      </c>
      <c r="P156" s="3">
        <v>2</v>
      </c>
    </row>
    <row r="157" spans="2:16" ht="12" customHeight="1">
      <c r="B157" s="9" t="s">
        <v>119</v>
      </c>
      <c r="C157" s="3">
        <f t="shared" si="14"/>
        <v>27</v>
      </c>
      <c r="D157" s="3">
        <v>15</v>
      </c>
      <c r="E157" s="3">
        <v>12</v>
      </c>
      <c r="I157" s="3">
        <v>1</v>
      </c>
      <c r="L157" s="3">
        <f t="shared" si="15"/>
        <v>20</v>
      </c>
      <c r="N157" s="3">
        <v>7</v>
      </c>
      <c r="P157" s="3">
        <v>2</v>
      </c>
    </row>
    <row r="158" spans="2:14" ht="12" customHeight="1">
      <c r="B158" s="9" t="s">
        <v>120</v>
      </c>
      <c r="C158" s="3">
        <f t="shared" si="14"/>
        <v>14</v>
      </c>
      <c r="D158" s="3">
        <v>3</v>
      </c>
      <c r="E158" s="3">
        <v>11</v>
      </c>
      <c r="L158" s="3">
        <f t="shared" si="15"/>
        <v>12</v>
      </c>
      <c r="N158" s="3">
        <v>2</v>
      </c>
    </row>
    <row r="159" spans="2:16" ht="12" customHeight="1">
      <c r="B159" s="9" t="s">
        <v>121</v>
      </c>
      <c r="C159" s="3">
        <f t="shared" si="14"/>
        <v>66</v>
      </c>
      <c r="D159" s="3">
        <v>17</v>
      </c>
      <c r="E159" s="3">
        <v>49</v>
      </c>
      <c r="H159" s="3">
        <v>2</v>
      </c>
      <c r="J159" s="3">
        <v>1</v>
      </c>
      <c r="L159" s="3">
        <f t="shared" si="15"/>
        <v>36</v>
      </c>
      <c r="N159" s="3">
        <v>30</v>
      </c>
      <c r="P159" s="3">
        <v>4</v>
      </c>
    </row>
    <row r="160" spans="2:16" ht="12" customHeight="1">
      <c r="B160" s="9" t="s">
        <v>122</v>
      </c>
      <c r="C160" s="3">
        <f t="shared" si="14"/>
        <v>18</v>
      </c>
      <c r="D160" s="3">
        <v>10</v>
      </c>
      <c r="E160" s="3">
        <v>8</v>
      </c>
      <c r="J160" s="3">
        <v>2</v>
      </c>
      <c r="L160" s="3">
        <f t="shared" si="15"/>
        <v>12</v>
      </c>
      <c r="N160" s="3">
        <v>6</v>
      </c>
      <c r="P160" s="3">
        <v>1</v>
      </c>
    </row>
    <row r="161" spans="2:16" ht="12" customHeight="1">
      <c r="B161" s="9" t="s">
        <v>123</v>
      </c>
      <c r="C161" s="3">
        <f t="shared" si="14"/>
        <v>146</v>
      </c>
      <c r="D161" s="3">
        <v>56</v>
      </c>
      <c r="E161" s="3">
        <v>90</v>
      </c>
      <c r="H161" s="3">
        <v>1</v>
      </c>
      <c r="I161" s="3">
        <v>4</v>
      </c>
      <c r="J161" s="3">
        <v>2</v>
      </c>
      <c r="L161" s="3">
        <f t="shared" si="15"/>
        <v>118</v>
      </c>
      <c r="N161" s="3">
        <v>28</v>
      </c>
      <c r="P161" s="3">
        <v>5</v>
      </c>
    </row>
    <row r="162" spans="2:14" ht="12" customHeight="1">
      <c r="B162" s="9" t="s">
        <v>124</v>
      </c>
      <c r="C162" s="3">
        <f t="shared" si="14"/>
        <v>7</v>
      </c>
      <c r="D162" s="3">
        <v>4</v>
      </c>
      <c r="E162" s="3">
        <v>3</v>
      </c>
      <c r="L162" s="3">
        <f t="shared" si="15"/>
        <v>5</v>
      </c>
      <c r="N162" s="3">
        <v>2</v>
      </c>
    </row>
    <row r="163" spans="2:16" ht="12" customHeight="1">
      <c r="B163" s="9" t="s">
        <v>125</v>
      </c>
      <c r="C163" s="3">
        <f t="shared" si="14"/>
        <v>255</v>
      </c>
      <c r="D163" s="3">
        <v>186</v>
      </c>
      <c r="E163" s="3">
        <v>69</v>
      </c>
      <c r="H163" s="3">
        <v>6</v>
      </c>
      <c r="I163" s="3">
        <v>2</v>
      </c>
      <c r="J163" s="3">
        <v>2</v>
      </c>
      <c r="L163" s="3">
        <f t="shared" si="15"/>
        <v>226</v>
      </c>
      <c r="N163" s="3">
        <v>29</v>
      </c>
      <c r="P163" s="3">
        <v>1</v>
      </c>
    </row>
    <row r="164" spans="2:14" ht="12.75">
      <c r="B164" s="9" t="s">
        <v>126</v>
      </c>
      <c r="C164" s="3">
        <f t="shared" si="14"/>
        <v>2</v>
      </c>
      <c r="D164" s="3">
        <v>1</v>
      </c>
      <c r="E164" s="3">
        <v>1</v>
      </c>
      <c r="I164" s="3">
        <v>1</v>
      </c>
      <c r="L164" s="3">
        <f t="shared" si="15"/>
        <v>1</v>
      </c>
      <c r="N164" s="3">
        <v>1</v>
      </c>
    </row>
    <row r="165" spans="2:14" ht="12" customHeight="1">
      <c r="B165" s="9" t="s">
        <v>127</v>
      </c>
      <c r="C165" s="3">
        <f t="shared" si="14"/>
        <v>200</v>
      </c>
      <c r="D165" s="3">
        <v>73</v>
      </c>
      <c r="E165" s="3">
        <v>127</v>
      </c>
      <c r="G165" s="3">
        <v>1</v>
      </c>
      <c r="I165" s="3">
        <v>5</v>
      </c>
      <c r="J165" s="3">
        <v>4</v>
      </c>
      <c r="L165" s="3">
        <f t="shared" si="15"/>
        <v>172</v>
      </c>
      <c r="N165" s="3">
        <f>12+16</f>
        <v>28</v>
      </c>
    </row>
    <row r="166" spans="2:14" ht="12" customHeight="1">
      <c r="B166" s="9" t="s">
        <v>128</v>
      </c>
      <c r="C166" s="3">
        <f t="shared" si="14"/>
        <v>128</v>
      </c>
      <c r="D166" s="3">
        <v>49</v>
      </c>
      <c r="E166" s="3">
        <v>79</v>
      </c>
      <c r="G166" s="3">
        <v>3</v>
      </c>
      <c r="H166" s="3">
        <v>9</v>
      </c>
      <c r="I166" s="3">
        <v>2</v>
      </c>
      <c r="J166" s="3">
        <v>2</v>
      </c>
      <c r="L166" s="3">
        <f t="shared" si="15"/>
        <v>116</v>
      </c>
      <c r="N166" s="3">
        <v>12</v>
      </c>
    </row>
    <row r="167" spans="2:16" ht="12" customHeight="1">
      <c r="B167" s="9" t="s">
        <v>129</v>
      </c>
      <c r="C167" s="3">
        <f t="shared" si="14"/>
        <v>11</v>
      </c>
      <c r="D167" s="3">
        <v>1</v>
      </c>
      <c r="E167" s="3">
        <v>10</v>
      </c>
      <c r="L167" s="3">
        <f t="shared" si="15"/>
        <v>7</v>
      </c>
      <c r="N167" s="3">
        <v>4</v>
      </c>
      <c r="P167" s="3">
        <v>1</v>
      </c>
    </row>
    <row r="168" spans="2:16" ht="12" customHeight="1">
      <c r="B168" s="9" t="s">
        <v>130</v>
      </c>
      <c r="C168" s="3">
        <f t="shared" si="14"/>
        <v>123</v>
      </c>
      <c r="D168" s="3">
        <v>71</v>
      </c>
      <c r="E168" s="3">
        <v>52</v>
      </c>
      <c r="H168" s="3">
        <v>2</v>
      </c>
      <c r="I168" s="3">
        <v>1</v>
      </c>
      <c r="J168" s="3">
        <v>6</v>
      </c>
      <c r="L168" s="3">
        <f t="shared" si="15"/>
        <v>86</v>
      </c>
      <c r="N168" s="3">
        <f>21+16</f>
        <v>37</v>
      </c>
      <c r="P168" s="3">
        <v>10</v>
      </c>
    </row>
    <row r="169" spans="2:14" ht="12" customHeight="1">
      <c r="B169" s="9" t="s">
        <v>131</v>
      </c>
      <c r="C169" s="3">
        <f t="shared" si="14"/>
        <v>133</v>
      </c>
      <c r="D169" s="3">
        <v>86</v>
      </c>
      <c r="E169" s="3">
        <v>47</v>
      </c>
      <c r="H169" s="3">
        <v>2</v>
      </c>
      <c r="J169" s="3">
        <v>3</v>
      </c>
      <c r="L169" s="3">
        <f t="shared" si="15"/>
        <v>74</v>
      </c>
      <c r="N169" s="3">
        <f>36+23</f>
        <v>59</v>
      </c>
    </row>
    <row r="170" spans="2:14" ht="12" customHeight="1">
      <c r="B170" s="9" t="s">
        <v>132</v>
      </c>
      <c r="C170" s="3">
        <f t="shared" si="14"/>
        <v>83</v>
      </c>
      <c r="D170" s="3">
        <v>31</v>
      </c>
      <c r="E170" s="3">
        <v>52</v>
      </c>
      <c r="H170" s="3">
        <v>1</v>
      </c>
      <c r="I170" s="3">
        <v>2</v>
      </c>
      <c r="J170" s="3">
        <v>1</v>
      </c>
      <c r="L170" s="3">
        <f t="shared" si="15"/>
        <v>78</v>
      </c>
      <c r="N170" s="3">
        <v>5</v>
      </c>
    </row>
    <row r="171" spans="2:14" ht="12" customHeight="1">
      <c r="B171" s="9" t="s">
        <v>133</v>
      </c>
      <c r="C171" s="3">
        <f t="shared" si="14"/>
        <v>15</v>
      </c>
      <c r="D171" s="3">
        <v>5</v>
      </c>
      <c r="E171" s="3">
        <v>10</v>
      </c>
      <c r="J171" s="3">
        <v>1</v>
      </c>
      <c r="L171" s="3">
        <f t="shared" si="15"/>
        <v>12</v>
      </c>
      <c r="N171" s="3">
        <v>3</v>
      </c>
    </row>
    <row r="172" spans="2:16" ht="12" customHeight="1">
      <c r="B172" s="9" t="s">
        <v>134</v>
      </c>
      <c r="C172" s="3">
        <f t="shared" si="14"/>
        <v>54</v>
      </c>
      <c r="D172" s="3">
        <v>18</v>
      </c>
      <c r="E172" s="3">
        <v>36</v>
      </c>
      <c r="H172" s="3">
        <v>4</v>
      </c>
      <c r="I172" s="3">
        <v>1</v>
      </c>
      <c r="J172" s="3">
        <v>1</v>
      </c>
      <c r="L172" s="3">
        <f t="shared" si="15"/>
        <v>41</v>
      </c>
      <c r="N172" s="3">
        <v>13</v>
      </c>
      <c r="P172" s="3">
        <v>1</v>
      </c>
    </row>
    <row r="173" spans="2:14" ht="12" customHeight="1">
      <c r="B173" s="9" t="s">
        <v>135</v>
      </c>
      <c r="C173" s="3">
        <f t="shared" si="14"/>
        <v>31</v>
      </c>
      <c r="D173" s="3">
        <v>22</v>
      </c>
      <c r="E173" s="3">
        <v>9</v>
      </c>
      <c r="H173" s="3">
        <v>1</v>
      </c>
      <c r="J173" s="3">
        <v>1</v>
      </c>
      <c r="L173" s="3">
        <f t="shared" si="15"/>
        <v>28</v>
      </c>
      <c r="N173" s="3">
        <v>3</v>
      </c>
    </row>
    <row r="174" spans="2:16" ht="12" customHeight="1">
      <c r="B174" s="9" t="s">
        <v>136</v>
      </c>
      <c r="C174" s="3">
        <f aca="true" t="shared" si="16" ref="C174:C193">D174+E174</f>
        <v>54</v>
      </c>
      <c r="D174" s="3">
        <v>41</v>
      </c>
      <c r="E174" s="3">
        <v>13</v>
      </c>
      <c r="I174" s="3">
        <v>1</v>
      </c>
      <c r="J174" s="3">
        <v>2</v>
      </c>
      <c r="L174" s="3">
        <f aca="true" t="shared" si="17" ref="L174:L193">(C174-N174)</f>
        <v>33</v>
      </c>
      <c r="N174" s="3">
        <v>21</v>
      </c>
      <c r="P174" s="3">
        <v>2</v>
      </c>
    </row>
    <row r="175" spans="2:16" ht="12" customHeight="1">
      <c r="B175" s="9" t="s">
        <v>137</v>
      </c>
      <c r="C175" s="3">
        <f t="shared" si="16"/>
        <v>291</v>
      </c>
      <c r="D175" s="3">
        <v>177</v>
      </c>
      <c r="E175" s="3">
        <v>114</v>
      </c>
      <c r="G175" s="3">
        <v>2</v>
      </c>
      <c r="H175" s="3">
        <v>18</v>
      </c>
      <c r="I175" s="3">
        <v>5</v>
      </c>
      <c r="J175" s="3">
        <v>6</v>
      </c>
      <c r="L175" s="3">
        <f t="shared" si="17"/>
        <v>225</v>
      </c>
      <c r="N175" s="3">
        <f>39+27</f>
        <v>66</v>
      </c>
      <c r="P175" s="3">
        <v>6</v>
      </c>
    </row>
    <row r="176" spans="2:16" ht="12.75">
      <c r="B176" s="9" t="s">
        <v>138</v>
      </c>
      <c r="C176" s="3">
        <f t="shared" si="16"/>
        <v>163</v>
      </c>
      <c r="D176" s="3">
        <v>72</v>
      </c>
      <c r="E176" s="3">
        <v>91</v>
      </c>
      <c r="G176" s="3">
        <v>1</v>
      </c>
      <c r="H176" s="3">
        <v>3</v>
      </c>
      <c r="I176" s="3">
        <v>7</v>
      </c>
      <c r="J176" s="3">
        <v>2</v>
      </c>
      <c r="L176" s="3">
        <f t="shared" si="17"/>
        <v>123</v>
      </c>
      <c r="N176" s="3">
        <f>17+23</f>
        <v>40</v>
      </c>
      <c r="P176" s="3">
        <v>3</v>
      </c>
    </row>
    <row r="177" spans="2:14" ht="12.75">
      <c r="B177" s="9" t="s">
        <v>139</v>
      </c>
      <c r="C177" s="3">
        <f t="shared" si="16"/>
        <v>29</v>
      </c>
      <c r="D177" s="3">
        <v>12</v>
      </c>
      <c r="E177" s="3">
        <v>17</v>
      </c>
      <c r="H177" s="3">
        <v>2</v>
      </c>
      <c r="J177" s="3">
        <v>2</v>
      </c>
      <c r="L177" s="3">
        <f t="shared" si="17"/>
        <v>20</v>
      </c>
      <c r="N177" s="3">
        <v>9</v>
      </c>
    </row>
    <row r="178" spans="2:16" ht="12.75">
      <c r="B178" s="9" t="s">
        <v>168</v>
      </c>
      <c r="C178" s="3">
        <f>D178+E178</f>
        <v>305</v>
      </c>
      <c r="D178" s="3">
        <v>271</v>
      </c>
      <c r="E178" s="3">
        <v>34</v>
      </c>
      <c r="H178" s="3">
        <v>16</v>
      </c>
      <c r="I178" s="3">
        <v>21</v>
      </c>
      <c r="J178" s="3">
        <v>6</v>
      </c>
      <c r="L178" s="3">
        <f>(C178-N178)</f>
        <v>197</v>
      </c>
      <c r="N178" s="3">
        <f>95+13</f>
        <v>108</v>
      </c>
      <c r="P178" s="3">
        <f>48+5</f>
        <v>53</v>
      </c>
    </row>
    <row r="179" spans="2:16" ht="12.75">
      <c r="B179" s="9" t="s">
        <v>140</v>
      </c>
      <c r="C179" s="3">
        <f t="shared" si="16"/>
        <v>413</v>
      </c>
      <c r="D179" s="3">
        <v>152</v>
      </c>
      <c r="E179" s="3">
        <v>261</v>
      </c>
      <c r="G179" s="3">
        <v>1</v>
      </c>
      <c r="H179" s="3">
        <f>11+16</f>
        <v>27</v>
      </c>
      <c r="I179" s="3">
        <v>13</v>
      </c>
      <c r="J179" s="3">
        <v>4</v>
      </c>
      <c r="L179" s="3">
        <f t="shared" si="17"/>
        <v>335</v>
      </c>
      <c r="N179" s="3">
        <f>33+45</f>
        <v>78</v>
      </c>
      <c r="P179" s="3">
        <v>7</v>
      </c>
    </row>
    <row r="180" spans="2:14" ht="12" customHeight="1">
      <c r="B180" s="9" t="s">
        <v>141</v>
      </c>
      <c r="C180" s="3">
        <f t="shared" si="16"/>
        <v>73</v>
      </c>
      <c r="D180" s="3">
        <v>28</v>
      </c>
      <c r="E180" s="3">
        <v>45</v>
      </c>
      <c r="G180" s="3">
        <v>1</v>
      </c>
      <c r="H180" s="3">
        <v>5</v>
      </c>
      <c r="I180" s="3">
        <v>7</v>
      </c>
      <c r="J180" s="3">
        <v>1</v>
      </c>
      <c r="L180" s="3">
        <f t="shared" si="17"/>
        <v>58</v>
      </c>
      <c r="N180" s="3">
        <v>15</v>
      </c>
    </row>
    <row r="181" spans="2:14" ht="12" customHeight="1">
      <c r="B181" s="9" t="s">
        <v>142</v>
      </c>
      <c r="C181" s="3">
        <f t="shared" si="16"/>
        <v>34</v>
      </c>
      <c r="D181" s="3">
        <v>21</v>
      </c>
      <c r="E181" s="3">
        <v>13</v>
      </c>
      <c r="H181" s="3">
        <v>2</v>
      </c>
      <c r="I181" s="3">
        <v>3</v>
      </c>
      <c r="J181" s="3">
        <v>1</v>
      </c>
      <c r="L181" s="3">
        <f t="shared" si="17"/>
        <v>26</v>
      </c>
      <c r="N181" s="3">
        <v>8</v>
      </c>
    </row>
    <row r="182" spans="2:16" ht="12" customHeight="1">
      <c r="B182" s="9" t="s">
        <v>143</v>
      </c>
      <c r="C182" s="3">
        <f t="shared" si="16"/>
        <v>130</v>
      </c>
      <c r="D182" s="3">
        <v>34</v>
      </c>
      <c r="E182" s="3">
        <v>96</v>
      </c>
      <c r="H182" s="3">
        <v>6</v>
      </c>
      <c r="I182" s="3">
        <v>6</v>
      </c>
      <c r="J182" s="3">
        <v>3</v>
      </c>
      <c r="L182" s="3">
        <f t="shared" si="17"/>
        <v>106</v>
      </c>
      <c r="N182" s="3">
        <v>24</v>
      </c>
      <c r="P182" s="3">
        <v>1</v>
      </c>
    </row>
    <row r="183" spans="2:16" ht="12" customHeight="1">
      <c r="B183" s="9" t="s">
        <v>144</v>
      </c>
      <c r="C183" s="3">
        <f t="shared" si="16"/>
        <v>697</v>
      </c>
      <c r="D183" s="3">
        <v>201</v>
      </c>
      <c r="E183" s="3">
        <v>496</v>
      </c>
      <c r="G183" s="3">
        <v>2</v>
      </c>
      <c r="H183" s="3">
        <f>27+5</f>
        <v>32</v>
      </c>
      <c r="I183" s="3">
        <v>11</v>
      </c>
      <c r="J183" s="3">
        <v>15</v>
      </c>
      <c r="L183" s="3">
        <f t="shared" si="17"/>
        <v>575</v>
      </c>
      <c r="N183" s="3">
        <f>30+92</f>
        <v>122</v>
      </c>
      <c r="P183" s="3">
        <v>4</v>
      </c>
    </row>
    <row r="184" spans="2:14" ht="12" customHeight="1">
      <c r="B184" s="9" t="s">
        <v>145</v>
      </c>
      <c r="C184" s="3">
        <f t="shared" si="16"/>
        <v>12</v>
      </c>
      <c r="D184" s="3">
        <v>5</v>
      </c>
      <c r="E184" s="3">
        <v>7</v>
      </c>
      <c r="H184" s="3">
        <v>1</v>
      </c>
      <c r="L184" s="3">
        <f t="shared" si="17"/>
        <v>10</v>
      </c>
      <c r="N184" s="3">
        <v>2</v>
      </c>
    </row>
    <row r="185" spans="2:16" ht="12" customHeight="1">
      <c r="B185" s="9" t="s">
        <v>146</v>
      </c>
      <c r="C185" s="3">
        <f t="shared" si="16"/>
        <v>1</v>
      </c>
      <c r="D185" s="3">
        <v>0</v>
      </c>
      <c r="E185" s="3">
        <v>1</v>
      </c>
      <c r="L185" s="3">
        <f t="shared" si="17"/>
        <v>0</v>
      </c>
      <c r="N185" s="3">
        <v>1</v>
      </c>
      <c r="P185" s="3">
        <v>1</v>
      </c>
    </row>
    <row r="186" spans="2:12" ht="12" customHeight="1">
      <c r="B186" s="9" t="s">
        <v>167</v>
      </c>
      <c r="C186" s="3">
        <f t="shared" si="16"/>
        <v>5</v>
      </c>
      <c r="D186" s="3">
        <v>2</v>
      </c>
      <c r="E186" s="3">
        <v>3</v>
      </c>
      <c r="L186" s="3">
        <f t="shared" si="17"/>
        <v>5</v>
      </c>
    </row>
    <row r="187" spans="2:16" ht="12" customHeight="1">
      <c r="B187" s="9" t="s">
        <v>147</v>
      </c>
      <c r="C187" s="3">
        <f t="shared" si="16"/>
        <v>250</v>
      </c>
      <c r="D187" s="3">
        <v>116</v>
      </c>
      <c r="E187" s="3">
        <v>134</v>
      </c>
      <c r="G187" s="3">
        <v>2</v>
      </c>
      <c r="H187" s="3">
        <v>25</v>
      </c>
      <c r="I187" s="3">
        <v>2</v>
      </c>
      <c r="J187" s="3">
        <v>9</v>
      </c>
      <c r="L187" s="3">
        <f t="shared" si="17"/>
        <v>201</v>
      </c>
      <c r="N187" s="3">
        <f>30+19</f>
        <v>49</v>
      </c>
      <c r="P187" s="3">
        <v>2</v>
      </c>
    </row>
    <row r="188" spans="2:16" ht="12" customHeight="1">
      <c r="B188" s="9" t="s">
        <v>148</v>
      </c>
      <c r="C188" s="3">
        <f t="shared" si="16"/>
        <v>70</v>
      </c>
      <c r="D188" s="3">
        <v>11</v>
      </c>
      <c r="E188" s="3">
        <v>59</v>
      </c>
      <c r="H188" s="3">
        <v>3</v>
      </c>
      <c r="J188" s="3">
        <v>3</v>
      </c>
      <c r="L188" s="3">
        <f t="shared" si="17"/>
        <v>57</v>
      </c>
      <c r="N188" s="3">
        <f>2+11</f>
        <v>13</v>
      </c>
      <c r="P188" s="3">
        <v>1</v>
      </c>
    </row>
    <row r="189" spans="2:14" ht="12" customHeight="1">
      <c r="B189" s="9" t="s">
        <v>149</v>
      </c>
      <c r="C189" s="3">
        <f t="shared" si="16"/>
        <v>28</v>
      </c>
      <c r="D189" s="3">
        <v>13</v>
      </c>
      <c r="E189" s="3">
        <v>15</v>
      </c>
      <c r="G189" s="3">
        <v>1</v>
      </c>
      <c r="H189" s="3">
        <v>3</v>
      </c>
      <c r="J189" s="3">
        <v>2</v>
      </c>
      <c r="L189" s="3">
        <f t="shared" si="17"/>
        <v>21</v>
      </c>
      <c r="N189" s="3">
        <v>7</v>
      </c>
    </row>
    <row r="190" spans="2:16" ht="12" customHeight="1">
      <c r="B190" s="9" t="s">
        <v>150</v>
      </c>
      <c r="C190" s="3">
        <f t="shared" si="16"/>
        <v>15</v>
      </c>
      <c r="D190" s="3">
        <v>6</v>
      </c>
      <c r="E190" s="3">
        <v>9</v>
      </c>
      <c r="H190" s="3">
        <v>1</v>
      </c>
      <c r="I190" s="3">
        <v>1</v>
      </c>
      <c r="L190" s="3">
        <f t="shared" si="17"/>
        <v>11</v>
      </c>
      <c r="N190" s="3">
        <v>4</v>
      </c>
      <c r="P190" s="3">
        <v>1</v>
      </c>
    </row>
    <row r="191" spans="2:14" ht="12" customHeight="1">
      <c r="B191" s="9" t="s">
        <v>169</v>
      </c>
      <c r="C191" s="3">
        <f t="shared" si="16"/>
        <v>13</v>
      </c>
      <c r="D191" s="3">
        <v>8</v>
      </c>
      <c r="E191" s="3">
        <v>5</v>
      </c>
      <c r="L191" s="3">
        <f t="shared" si="17"/>
        <v>11</v>
      </c>
      <c r="N191" s="3">
        <v>2</v>
      </c>
    </row>
    <row r="192" spans="2:16" ht="12" customHeight="1">
      <c r="B192" s="9" t="s">
        <v>151</v>
      </c>
      <c r="C192" s="3">
        <f t="shared" si="16"/>
        <v>9</v>
      </c>
      <c r="D192" s="3">
        <v>0</v>
      </c>
      <c r="E192" s="3">
        <v>9</v>
      </c>
      <c r="L192" s="3">
        <f t="shared" si="17"/>
        <v>5</v>
      </c>
      <c r="N192" s="3">
        <v>4</v>
      </c>
      <c r="P192" s="3">
        <v>2</v>
      </c>
    </row>
    <row r="193" spans="2:14" ht="12" customHeight="1">
      <c r="B193" s="9" t="s">
        <v>152</v>
      </c>
      <c r="C193" s="3">
        <f t="shared" si="16"/>
        <v>74</v>
      </c>
      <c r="D193" s="3">
        <v>23</v>
      </c>
      <c r="E193" s="3">
        <v>51</v>
      </c>
      <c r="G193" s="3">
        <v>1</v>
      </c>
      <c r="I193" s="3">
        <v>2</v>
      </c>
      <c r="L193" s="3">
        <f t="shared" si="17"/>
        <v>55</v>
      </c>
      <c r="N193" s="3">
        <v>19</v>
      </c>
    </row>
    <row r="195" spans="1:16" ht="12.75">
      <c r="A195" s="9" t="s">
        <v>5</v>
      </c>
      <c r="C195" s="3">
        <f>SUM(C140:C194)</f>
        <v>6712</v>
      </c>
      <c r="D195" s="3">
        <f>SUM(D140:D194)</f>
        <v>3109</v>
      </c>
      <c r="E195" s="3">
        <f aca="true" t="shared" si="18" ref="E195:J195">SUM(E140:E193)</f>
        <v>3603</v>
      </c>
      <c r="F195" s="3">
        <f t="shared" si="18"/>
        <v>0</v>
      </c>
      <c r="G195" s="3">
        <f t="shared" si="18"/>
        <v>27</v>
      </c>
      <c r="H195" s="3">
        <f t="shared" si="18"/>
        <v>257</v>
      </c>
      <c r="I195" s="3">
        <f t="shared" si="18"/>
        <v>195</v>
      </c>
      <c r="J195" s="3">
        <f t="shared" si="18"/>
        <v>121</v>
      </c>
      <c r="L195" s="3">
        <f>SUM(L140:L194)</f>
        <v>5185</v>
      </c>
      <c r="N195" s="3">
        <f>SUM(N140:N193)</f>
        <v>1527</v>
      </c>
      <c r="P195" s="3">
        <f>SUM(P140:P193)</f>
        <v>306</v>
      </c>
    </row>
    <row r="196" spans="1:17" ht="15.75">
      <c r="A196" s="1" t="s">
        <v>224</v>
      </c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</row>
    <row r="198" spans="8:16" ht="12.75">
      <c r="H198" s="4" t="s">
        <v>1</v>
      </c>
      <c r="N198" s="5" t="s">
        <v>2</v>
      </c>
      <c r="P198" s="5" t="s">
        <v>3</v>
      </c>
    </row>
    <row r="199" spans="1:16" ht="12.75">
      <c r="A199" s="4" t="s">
        <v>153</v>
      </c>
      <c r="B199" s="6"/>
      <c r="C199" s="7" t="s">
        <v>5</v>
      </c>
      <c r="D199" s="7" t="s">
        <v>6</v>
      </c>
      <c r="E199" s="7" t="s">
        <v>7</v>
      </c>
      <c r="F199" s="6"/>
      <c r="G199" s="7" t="s">
        <v>8</v>
      </c>
      <c r="H199" s="7" t="s">
        <v>9</v>
      </c>
      <c r="I199" s="7" t="s">
        <v>10</v>
      </c>
      <c r="J199" s="7" t="s">
        <v>11</v>
      </c>
      <c r="K199" s="6"/>
      <c r="L199" s="8" t="s">
        <v>12</v>
      </c>
      <c r="M199" s="6"/>
      <c r="N199" s="8" t="s">
        <v>13</v>
      </c>
      <c r="O199" s="6"/>
      <c r="P199" s="8" t="s">
        <v>14</v>
      </c>
    </row>
    <row r="200" spans="2:12" ht="12" customHeight="1">
      <c r="B200" s="9" t="s">
        <v>154</v>
      </c>
      <c r="C200" s="3">
        <f>D200+E200</f>
        <v>0</v>
      </c>
      <c r="D200" s="3">
        <v>0</v>
      </c>
      <c r="E200" s="3">
        <v>0</v>
      </c>
      <c r="L200" s="3">
        <f>(C200-N200)</f>
        <v>0</v>
      </c>
    </row>
    <row r="201" spans="2:16" ht="12" customHeight="1">
      <c r="B201" s="9" t="s">
        <v>155</v>
      </c>
      <c r="C201" s="3">
        <f>D201+E201</f>
        <v>400</v>
      </c>
      <c r="D201" s="3">
        <v>128</v>
      </c>
      <c r="E201" s="3">
        <v>272</v>
      </c>
      <c r="G201" s="3">
        <v>1</v>
      </c>
      <c r="H201" s="3">
        <v>1</v>
      </c>
      <c r="I201" s="3">
        <v>5</v>
      </c>
      <c r="J201" s="3">
        <v>1</v>
      </c>
      <c r="L201" s="3">
        <f>(C201-N201)</f>
        <v>253</v>
      </c>
      <c r="N201" s="3">
        <v>147</v>
      </c>
      <c r="P201" s="3">
        <v>3</v>
      </c>
    </row>
    <row r="203" spans="1:16" ht="12.75">
      <c r="A203" s="9" t="s">
        <v>5</v>
      </c>
      <c r="C203" s="3">
        <f>SUM(C200:C201)</f>
        <v>400</v>
      </c>
      <c r="D203" s="3">
        <f>SUM(D200:D201)</f>
        <v>128</v>
      </c>
      <c r="E203" s="3">
        <f>SUM(E200:E201)</f>
        <v>272</v>
      </c>
      <c r="G203" s="3">
        <f>SUM(G200:G201)</f>
        <v>1</v>
      </c>
      <c r="H203" s="3">
        <f>SUM(H200:H201)</f>
        <v>1</v>
      </c>
      <c r="I203" s="3">
        <f>SUM(I200:I201)</f>
        <v>5</v>
      </c>
      <c r="J203" s="3">
        <f>SUM(J200:J201)</f>
        <v>1</v>
      </c>
      <c r="L203" s="3">
        <f>SUM(L200:L201)</f>
        <v>253</v>
      </c>
      <c r="N203" s="3">
        <f>SUM(N200:N201)</f>
        <v>147</v>
      </c>
      <c r="P203" s="3">
        <f>SUM(P200:P201)</f>
        <v>3</v>
      </c>
    </row>
    <row r="209" spans="8:16" ht="12.75">
      <c r="H209" s="4" t="s">
        <v>1</v>
      </c>
      <c r="N209" s="5" t="s">
        <v>2</v>
      </c>
      <c r="P209" s="5" t="s">
        <v>3</v>
      </c>
    </row>
    <row r="210" spans="3:16" ht="12.75">
      <c r="C210" s="7" t="s">
        <v>5</v>
      </c>
      <c r="D210" s="7" t="s">
        <v>6</v>
      </c>
      <c r="E210" s="7" t="s">
        <v>7</v>
      </c>
      <c r="F210" s="6"/>
      <c r="G210" s="7" t="s">
        <v>8</v>
      </c>
      <c r="H210" s="7" t="s">
        <v>9</v>
      </c>
      <c r="I210" s="7" t="s">
        <v>10</v>
      </c>
      <c r="J210" s="7" t="s">
        <v>11</v>
      </c>
      <c r="K210" s="6"/>
      <c r="L210" s="8" t="s">
        <v>12</v>
      </c>
      <c r="M210" s="6"/>
      <c r="N210" s="8" t="s">
        <v>13</v>
      </c>
      <c r="O210" s="6"/>
      <c r="P210" s="8" t="s">
        <v>14</v>
      </c>
    </row>
    <row r="212" spans="1:16" ht="12.75">
      <c r="A212" s="9" t="s">
        <v>156</v>
      </c>
      <c r="C212" s="3">
        <f>C36+C57+C76+C90+C112+C131+C195+C203</f>
        <v>23399</v>
      </c>
      <c r="D212" s="3">
        <f>D36+D57+D76+D90+D112+D131+D195+D203</f>
        <v>12948</v>
      </c>
      <c r="E212" s="3">
        <f>E36+E57+E76+E90+E112+E131+E195+E203</f>
        <v>10451</v>
      </c>
      <c r="G212" s="3">
        <f>G36+G57+G76+G90+G112+G131+G195+G203</f>
        <v>73</v>
      </c>
      <c r="H212" s="3">
        <f>H36+H57+H76+H90+H112+H131+H195+H203</f>
        <v>641</v>
      </c>
      <c r="I212" s="3">
        <f>I36+I57+I76+I90+I112+I131+I195+I203</f>
        <v>633</v>
      </c>
      <c r="J212" s="3">
        <f>J36+J57+J76+J90+J112+J131+J195+J203</f>
        <v>441</v>
      </c>
      <c r="L212" s="3">
        <f>L36+L57+L76+L90+L112+L131+L195+L203</f>
        <v>17839</v>
      </c>
      <c r="N212" s="3">
        <f>N36+N57+N76+N90+N112+N131+N195+N203</f>
        <v>5560</v>
      </c>
      <c r="P212" s="3">
        <f>P36+P57+P76+P90+P112+P131+P195+P203</f>
        <v>1056</v>
      </c>
    </row>
    <row r="219" spans="1:3" ht="12.75">
      <c r="A219" s="9" t="s">
        <v>157</v>
      </c>
      <c r="B219" s="11"/>
      <c r="C219" s="11"/>
    </row>
    <row r="220" spans="2:3" ht="12.75">
      <c r="B220" s="9" t="s">
        <v>158</v>
      </c>
      <c r="C220" s="11"/>
    </row>
    <row r="221" spans="2:3" ht="12.75">
      <c r="B221" s="9" t="s">
        <v>159</v>
      </c>
      <c r="C221" s="11"/>
    </row>
    <row r="222" spans="2:3" ht="12.75">
      <c r="B222" s="9" t="s">
        <v>160</v>
      </c>
      <c r="C222" s="11"/>
    </row>
    <row r="223" spans="2:3" ht="12.75">
      <c r="B223" s="9" t="s">
        <v>161</v>
      </c>
      <c r="C223" s="11"/>
    </row>
    <row r="224" spans="2:3" ht="12.75">
      <c r="B224" s="11"/>
      <c r="C224" s="11"/>
    </row>
    <row r="225" spans="1:3" ht="12.75">
      <c r="A225" s="9" t="s">
        <v>162</v>
      </c>
      <c r="B225" s="11"/>
      <c r="C225" s="11"/>
    </row>
    <row r="244" ht="12.75">
      <c r="A244" s="9"/>
    </row>
    <row r="245" ht="12.75">
      <c r="A245" s="9"/>
    </row>
  </sheetData>
  <printOptions horizontalCentered="1"/>
  <pageMargins left="0.4" right="0.4" top="0.75" bottom="0.5" header="0.5" footer="0.5"/>
  <pageSetup fitToHeight="0" horizontalDpi="300" verticalDpi="300" orientation="portrait" scale="95" r:id="rId1"/>
  <rowBreaks count="4" manualBreakCount="4">
    <brk id="41" max="16" man="1"/>
    <brk id="91" max="16" man="1"/>
    <brk id="135" max="16" man="1"/>
    <brk id="195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Q170"/>
  <sheetViews>
    <sheetView showGridLines="0" zoomScale="75" zoomScaleNormal="75" zoomScaleSheetLayoutView="75" workbookViewId="0" topLeftCell="A1">
      <selection activeCell="B1" sqref="B1"/>
    </sheetView>
  </sheetViews>
  <sheetFormatPr defaultColWidth="9.7109375" defaultRowHeight="12.75"/>
  <cols>
    <col min="1" max="1" width="1.7109375" style="3" customWidth="1"/>
    <col min="2" max="2" width="39.00390625" style="3" customWidth="1"/>
    <col min="3" max="3" width="4.7109375" style="3" customWidth="1"/>
    <col min="4" max="4" width="5.7109375" style="3" customWidth="1"/>
    <col min="5" max="5" width="6.7109375" style="3" customWidth="1"/>
    <col min="6" max="6" width="0.9921875" style="3" customWidth="1"/>
    <col min="7" max="7" width="3.7109375" style="3" customWidth="1"/>
    <col min="8" max="8" width="4.140625" style="3" customWidth="1"/>
    <col min="9" max="10" width="3.7109375" style="3" customWidth="1"/>
    <col min="11" max="11" width="2.7109375" style="3" customWidth="1"/>
    <col min="12" max="12" width="4.7109375" style="3" customWidth="1"/>
    <col min="13" max="13" width="3.7109375" style="3" customWidth="1"/>
    <col min="14" max="14" width="4.7109375" style="3" customWidth="1"/>
    <col min="15" max="15" width="3.7109375" style="3" customWidth="1"/>
    <col min="16" max="16" width="4.7109375" style="3" customWidth="1"/>
    <col min="17" max="17" width="2.28125" style="3" customWidth="1"/>
    <col min="18" max="16384" width="9.7109375" style="3" customWidth="1"/>
  </cols>
  <sheetData>
    <row r="1" spans="1:17" ht="15.75">
      <c r="A1" s="1" t="s">
        <v>224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6.5" customHeight="1">
      <c r="A2" s="1" t="s">
        <v>170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5" spans="8:16" ht="12.75">
      <c r="H5" s="4" t="s">
        <v>1</v>
      </c>
      <c r="N5" s="5" t="s">
        <v>2</v>
      </c>
      <c r="P5" s="5" t="s">
        <v>3</v>
      </c>
    </row>
    <row r="6" spans="1:16" ht="12.75">
      <c r="A6" s="4" t="s">
        <v>4</v>
      </c>
      <c r="B6" s="6"/>
      <c r="C6" s="7" t="s">
        <v>5</v>
      </c>
      <c r="D6" s="7" t="s">
        <v>6</v>
      </c>
      <c r="E6" s="7" t="s">
        <v>7</v>
      </c>
      <c r="F6" s="6"/>
      <c r="G6" s="7" t="s">
        <v>8</v>
      </c>
      <c r="H6" s="7" t="s">
        <v>9</v>
      </c>
      <c r="I6" s="7" t="s">
        <v>10</v>
      </c>
      <c r="J6" s="7" t="s">
        <v>11</v>
      </c>
      <c r="K6" s="6"/>
      <c r="L6" s="8" t="s">
        <v>12</v>
      </c>
      <c r="M6" s="6"/>
      <c r="N6" s="8" t="s">
        <v>13</v>
      </c>
      <c r="O6" s="6"/>
      <c r="P6" s="8" t="s">
        <v>14</v>
      </c>
    </row>
    <row r="7" spans="2:16" ht="12" customHeight="1">
      <c r="B7" s="9" t="s">
        <v>171</v>
      </c>
      <c r="C7" s="3">
        <f aca="true" t="shared" si="0" ref="C7:C22">D7+E7</f>
        <v>44</v>
      </c>
      <c r="D7" s="3">
        <v>23</v>
      </c>
      <c r="E7" s="3">
        <v>21</v>
      </c>
      <c r="H7" s="3">
        <v>3</v>
      </c>
      <c r="I7" s="3">
        <v>1</v>
      </c>
      <c r="L7" s="3">
        <f aca="true" t="shared" si="1" ref="L7:L22">(C7-N7)</f>
        <v>29</v>
      </c>
      <c r="N7" s="3">
        <v>15</v>
      </c>
      <c r="P7" s="3">
        <v>8</v>
      </c>
    </row>
    <row r="8" spans="2:16" ht="12" customHeight="1">
      <c r="B8" s="9" t="s">
        <v>22</v>
      </c>
      <c r="C8" s="3">
        <f t="shared" si="0"/>
        <v>204</v>
      </c>
      <c r="D8" s="3">
        <v>141</v>
      </c>
      <c r="E8" s="3">
        <v>63</v>
      </c>
      <c r="H8" s="3">
        <v>3</v>
      </c>
      <c r="J8" s="3">
        <v>2</v>
      </c>
      <c r="L8" s="3">
        <f t="shared" si="1"/>
        <v>93</v>
      </c>
      <c r="N8" s="3">
        <f>74+37</f>
        <v>111</v>
      </c>
      <c r="P8" s="3">
        <v>48</v>
      </c>
    </row>
    <row r="9" spans="2:16" ht="12" customHeight="1">
      <c r="B9" s="9" t="s">
        <v>23</v>
      </c>
      <c r="C9" s="3">
        <f t="shared" si="0"/>
        <v>48</v>
      </c>
      <c r="D9" s="3">
        <v>28</v>
      </c>
      <c r="E9" s="3">
        <v>20</v>
      </c>
      <c r="L9" s="3">
        <f t="shared" si="1"/>
        <v>30</v>
      </c>
      <c r="N9" s="3">
        <v>18</v>
      </c>
      <c r="P9" s="3">
        <v>3</v>
      </c>
    </row>
    <row r="10" spans="2:16" ht="12" customHeight="1">
      <c r="B10" s="9" t="s">
        <v>24</v>
      </c>
      <c r="C10" s="3">
        <f t="shared" si="0"/>
        <v>94</v>
      </c>
      <c r="D10" s="3">
        <v>59</v>
      </c>
      <c r="E10" s="3">
        <v>35</v>
      </c>
      <c r="J10" s="3">
        <v>1</v>
      </c>
      <c r="L10" s="3">
        <f t="shared" si="1"/>
        <v>34</v>
      </c>
      <c r="N10" s="3">
        <f>37+23</f>
        <v>60</v>
      </c>
      <c r="P10" s="3">
        <v>31</v>
      </c>
    </row>
    <row r="11" spans="2:16" ht="12" customHeight="1">
      <c r="B11" s="9" t="s">
        <v>172</v>
      </c>
      <c r="C11" s="3">
        <f t="shared" si="0"/>
        <v>16</v>
      </c>
      <c r="D11" s="3">
        <v>10</v>
      </c>
      <c r="E11" s="3">
        <v>6</v>
      </c>
      <c r="H11" s="3">
        <v>1</v>
      </c>
      <c r="L11" s="3">
        <f t="shared" si="1"/>
        <v>6</v>
      </c>
      <c r="N11" s="3">
        <v>10</v>
      </c>
      <c r="P11" s="3">
        <v>6</v>
      </c>
    </row>
    <row r="12" spans="2:16" ht="12" customHeight="1">
      <c r="B12" s="9" t="s">
        <v>173</v>
      </c>
      <c r="C12" s="3">
        <f t="shared" si="0"/>
        <v>1</v>
      </c>
      <c r="D12" s="3">
        <v>0</v>
      </c>
      <c r="E12" s="3">
        <v>1</v>
      </c>
      <c r="L12" s="3">
        <f t="shared" si="1"/>
        <v>0</v>
      </c>
      <c r="N12" s="3">
        <v>1</v>
      </c>
      <c r="P12" s="3">
        <v>1</v>
      </c>
    </row>
    <row r="13" spans="2:16" ht="12" customHeight="1">
      <c r="B13" s="9" t="s">
        <v>174</v>
      </c>
      <c r="C13" s="3">
        <f t="shared" si="0"/>
        <v>27</v>
      </c>
      <c r="D13" s="3">
        <v>19</v>
      </c>
      <c r="E13" s="3">
        <v>8</v>
      </c>
      <c r="I13" s="3">
        <v>1</v>
      </c>
      <c r="L13" s="3">
        <f t="shared" si="1"/>
        <v>5</v>
      </c>
      <c r="N13" s="3">
        <v>22</v>
      </c>
      <c r="P13" s="3">
        <v>17</v>
      </c>
    </row>
    <row r="14" spans="2:16" ht="12" customHeight="1">
      <c r="B14" s="9" t="s">
        <v>29</v>
      </c>
      <c r="C14" s="3">
        <f t="shared" si="0"/>
        <v>39</v>
      </c>
      <c r="D14" s="3">
        <v>23</v>
      </c>
      <c r="E14" s="3">
        <v>16</v>
      </c>
      <c r="H14" s="3">
        <v>2</v>
      </c>
      <c r="J14" s="3">
        <v>1</v>
      </c>
      <c r="L14" s="3">
        <f t="shared" si="1"/>
        <v>19</v>
      </c>
      <c r="N14" s="3">
        <v>20</v>
      </c>
      <c r="P14" s="3">
        <v>9</v>
      </c>
    </row>
    <row r="15" spans="2:16" ht="12" customHeight="1">
      <c r="B15" s="9" t="s">
        <v>175</v>
      </c>
      <c r="C15" s="3">
        <f t="shared" si="0"/>
        <v>26</v>
      </c>
      <c r="D15" s="3">
        <v>10</v>
      </c>
      <c r="E15" s="3">
        <v>16</v>
      </c>
      <c r="H15" s="3">
        <v>1</v>
      </c>
      <c r="J15" s="3">
        <v>1</v>
      </c>
      <c r="L15" s="3">
        <f t="shared" si="1"/>
        <v>8</v>
      </c>
      <c r="N15" s="3">
        <v>18</v>
      </c>
      <c r="P15" s="3">
        <v>15</v>
      </c>
    </row>
    <row r="16" spans="2:16" ht="12" customHeight="1">
      <c r="B16" s="9" t="s">
        <v>32</v>
      </c>
      <c r="C16" s="3">
        <f t="shared" si="0"/>
        <v>24</v>
      </c>
      <c r="D16" s="3">
        <v>13</v>
      </c>
      <c r="E16" s="3">
        <v>11</v>
      </c>
      <c r="H16" s="3">
        <v>1</v>
      </c>
      <c r="L16" s="3">
        <f t="shared" si="1"/>
        <v>10</v>
      </c>
      <c r="N16" s="3">
        <v>14</v>
      </c>
      <c r="P16" s="3">
        <v>5</v>
      </c>
    </row>
    <row r="17" spans="2:16" ht="12" customHeight="1">
      <c r="B17" s="9" t="s">
        <v>35</v>
      </c>
      <c r="C17" s="3">
        <f t="shared" si="0"/>
        <v>23</v>
      </c>
      <c r="D17" s="3">
        <v>12</v>
      </c>
      <c r="E17" s="3">
        <v>11</v>
      </c>
      <c r="H17" s="3">
        <v>1</v>
      </c>
      <c r="L17" s="3">
        <f t="shared" si="1"/>
        <v>8</v>
      </c>
      <c r="N17" s="3">
        <v>15</v>
      </c>
      <c r="P17" s="3">
        <v>9</v>
      </c>
    </row>
    <row r="18" spans="2:16" ht="12" customHeight="1">
      <c r="B18" s="9" t="s">
        <v>36</v>
      </c>
      <c r="C18" s="3">
        <f t="shared" si="0"/>
        <v>23</v>
      </c>
      <c r="D18" s="3">
        <v>16</v>
      </c>
      <c r="E18" s="3">
        <v>7</v>
      </c>
      <c r="L18" s="3">
        <f t="shared" si="1"/>
        <v>10</v>
      </c>
      <c r="N18" s="3">
        <v>13</v>
      </c>
      <c r="P18" s="3">
        <v>10</v>
      </c>
    </row>
    <row r="19" spans="2:16" ht="12" customHeight="1">
      <c r="B19" s="9" t="s">
        <v>176</v>
      </c>
      <c r="C19" s="3">
        <f t="shared" si="0"/>
        <v>41</v>
      </c>
      <c r="D19" s="3">
        <v>21</v>
      </c>
      <c r="E19" s="3">
        <v>20</v>
      </c>
      <c r="H19" s="3">
        <v>3</v>
      </c>
      <c r="L19" s="3">
        <f t="shared" si="1"/>
        <v>13</v>
      </c>
      <c r="N19" s="3">
        <v>28</v>
      </c>
      <c r="P19" s="3">
        <v>18</v>
      </c>
    </row>
    <row r="20" spans="2:14" ht="12" customHeight="1">
      <c r="B20" s="9" t="s">
        <v>39</v>
      </c>
      <c r="C20" s="3">
        <f t="shared" si="0"/>
        <v>36</v>
      </c>
      <c r="D20" s="3">
        <v>27</v>
      </c>
      <c r="E20" s="3">
        <v>9</v>
      </c>
      <c r="I20" s="3">
        <v>1</v>
      </c>
      <c r="L20" s="3">
        <f t="shared" si="1"/>
        <v>22</v>
      </c>
      <c r="N20" s="3">
        <v>14</v>
      </c>
    </row>
    <row r="21" spans="2:16" ht="12" customHeight="1">
      <c r="B21" s="9" t="s">
        <v>177</v>
      </c>
      <c r="C21" s="3">
        <f t="shared" si="0"/>
        <v>15</v>
      </c>
      <c r="D21" s="3">
        <v>7</v>
      </c>
      <c r="E21" s="3">
        <v>8</v>
      </c>
      <c r="I21" s="3">
        <v>1</v>
      </c>
      <c r="L21" s="3">
        <f t="shared" si="1"/>
        <v>5</v>
      </c>
      <c r="N21" s="3">
        <v>10</v>
      </c>
      <c r="P21" s="3">
        <v>6</v>
      </c>
    </row>
    <row r="22" spans="2:16" ht="12" customHeight="1">
      <c r="B22" s="9" t="s">
        <v>178</v>
      </c>
      <c r="C22" s="3">
        <f t="shared" si="0"/>
        <v>31</v>
      </c>
      <c r="D22" s="3">
        <v>16</v>
      </c>
      <c r="E22" s="3">
        <v>15</v>
      </c>
      <c r="G22" s="3">
        <v>1</v>
      </c>
      <c r="H22" s="3">
        <v>1</v>
      </c>
      <c r="L22" s="3">
        <f t="shared" si="1"/>
        <v>7</v>
      </c>
      <c r="N22" s="3">
        <v>24</v>
      </c>
      <c r="P22" s="3">
        <v>15</v>
      </c>
    </row>
    <row r="24" spans="1:16" ht="12.75">
      <c r="A24" s="9" t="s">
        <v>5</v>
      </c>
      <c r="C24" s="3">
        <f>SUM(C7:C22)</f>
        <v>692</v>
      </c>
      <c r="D24" s="3">
        <f>SUM(D7:D22)</f>
        <v>425</v>
      </c>
      <c r="E24" s="3">
        <f>SUM(E7:E22)</f>
        <v>267</v>
      </c>
      <c r="G24" s="3">
        <f>SUM(G7:G22)</f>
        <v>1</v>
      </c>
      <c r="H24" s="3">
        <f>SUM(H7:H22)</f>
        <v>16</v>
      </c>
      <c r="I24" s="3">
        <f>SUM(I7:I22)</f>
        <v>4</v>
      </c>
      <c r="J24" s="3">
        <f>SUM(J7:J22)</f>
        <v>5</v>
      </c>
      <c r="L24" s="3">
        <f>SUM(L7:L22)</f>
        <v>299</v>
      </c>
      <c r="N24" s="3">
        <f>SUM(N7:N22)</f>
        <v>393</v>
      </c>
      <c r="P24" s="3">
        <f>SUM(P7:P22)</f>
        <v>201</v>
      </c>
    </row>
    <row r="28" spans="8:16" ht="12.75">
      <c r="H28" s="4" t="s">
        <v>1</v>
      </c>
      <c r="N28" s="5" t="s">
        <v>2</v>
      </c>
      <c r="P28" s="5" t="s">
        <v>3</v>
      </c>
    </row>
    <row r="29" spans="1:16" ht="12.75">
      <c r="A29" s="4" t="s">
        <v>42</v>
      </c>
      <c r="C29" s="7" t="s">
        <v>5</v>
      </c>
      <c r="D29" s="7" t="s">
        <v>6</v>
      </c>
      <c r="E29" s="7" t="s">
        <v>7</v>
      </c>
      <c r="F29" s="6"/>
      <c r="G29" s="7" t="s">
        <v>8</v>
      </c>
      <c r="H29" s="7" t="s">
        <v>9</v>
      </c>
      <c r="I29" s="7" t="s">
        <v>10</v>
      </c>
      <c r="J29" s="7" t="s">
        <v>11</v>
      </c>
      <c r="K29" s="6"/>
      <c r="L29" s="8" t="s">
        <v>12</v>
      </c>
      <c r="M29" s="6"/>
      <c r="N29" s="8" t="s">
        <v>13</v>
      </c>
      <c r="O29" s="6"/>
      <c r="P29" s="8" t="s">
        <v>14</v>
      </c>
    </row>
    <row r="30" spans="1:16" ht="12.75">
      <c r="A30" s="4"/>
      <c r="B30" s="3" t="s">
        <v>45</v>
      </c>
      <c r="C30" s="3">
        <f>D30+E30</f>
        <v>28</v>
      </c>
      <c r="D30" s="3">
        <v>12</v>
      </c>
      <c r="E30" s="3">
        <v>16</v>
      </c>
      <c r="L30" s="3">
        <f>(C30-N30)</f>
        <v>16</v>
      </c>
      <c r="N30" s="3">
        <v>12</v>
      </c>
      <c r="P30" s="3">
        <v>11</v>
      </c>
    </row>
    <row r="31" spans="2:16" ht="12" customHeight="1">
      <c r="B31" s="9" t="s">
        <v>179</v>
      </c>
      <c r="C31" s="3">
        <f>D31+E31</f>
        <v>227</v>
      </c>
      <c r="D31" s="3">
        <v>151</v>
      </c>
      <c r="E31" s="3">
        <v>76</v>
      </c>
      <c r="G31" s="3">
        <v>1</v>
      </c>
      <c r="H31" s="3">
        <v>4</v>
      </c>
      <c r="I31" s="3">
        <v>4</v>
      </c>
      <c r="J31" s="3">
        <v>2</v>
      </c>
      <c r="L31" s="3">
        <f>(C31-N31)</f>
        <v>178</v>
      </c>
      <c r="N31" s="3">
        <f>31+18</f>
        <v>49</v>
      </c>
      <c r="P31" s="3">
        <f>25+13</f>
        <v>38</v>
      </c>
    </row>
    <row r="32" spans="2:16" ht="12" customHeight="1">
      <c r="B32" s="9" t="s">
        <v>220</v>
      </c>
      <c r="C32" s="3">
        <f>D32+E32</f>
        <v>26</v>
      </c>
      <c r="D32" s="3">
        <v>18</v>
      </c>
      <c r="E32" s="3">
        <v>8</v>
      </c>
      <c r="L32" s="3">
        <f>(C32-N32)</f>
        <v>11</v>
      </c>
      <c r="N32" s="3">
        <v>15</v>
      </c>
      <c r="P32" s="3">
        <v>13</v>
      </c>
    </row>
    <row r="34" spans="1:16" ht="12.75">
      <c r="A34" s="9" t="s">
        <v>5</v>
      </c>
      <c r="C34" s="3">
        <f>SUM(C30:C32)</f>
        <v>281</v>
      </c>
      <c r="D34" s="3">
        <f aca="true" t="shared" si="2" ref="D34:P34">SUM(D30:D32)</f>
        <v>181</v>
      </c>
      <c r="E34" s="3">
        <f t="shared" si="2"/>
        <v>100</v>
      </c>
      <c r="F34" s="3">
        <f t="shared" si="2"/>
        <v>0</v>
      </c>
      <c r="G34" s="3">
        <f t="shared" si="2"/>
        <v>1</v>
      </c>
      <c r="H34" s="3">
        <f t="shared" si="2"/>
        <v>4</v>
      </c>
      <c r="I34" s="3">
        <f t="shared" si="2"/>
        <v>4</v>
      </c>
      <c r="J34" s="3">
        <f t="shared" si="2"/>
        <v>2</v>
      </c>
      <c r="L34" s="3">
        <f t="shared" si="2"/>
        <v>205</v>
      </c>
      <c r="N34" s="3">
        <f t="shared" si="2"/>
        <v>76</v>
      </c>
      <c r="O34" s="3">
        <f t="shared" si="2"/>
        <v>0</v>
      </c>
      <c r="P34" s="3">
        <f t="shared" si="2"/>
        <v>62</v>
      </c>
    </row>
    <row r="35" ht="12.75">
      <c r="A35" s="9"/>
    </row>
    <row r="36" ht="12.75">
      <c r="A36" s="9"/>
    </row>
    <row r="38" spans="8:16" ht="12.75">
      <c r="H38" s="4" t="s">
        <v>1</v>
      </c>
      <c r="N38" s="5" t="s">
        <v>2</v>
      </c>
      <c r="P38" s="5" t="s">
        <v>3</v>
      </c>
    </row>
    <row r="39" spans="1:16" ht="12.75">
      <c r="A39" s="4" t="s">
        <v>53</v>
      </c>
      <c r="B39" s="6"/>
      <c r="C39" s="7" t="s">
        <v>5</v>
      </c>
      <c r="D39" s="7" t="s">
        <v>6</v>
      </c>
      <c r="E39" s="7" t="s">
        <v>7</v>
      </c>
      <c r="F39" s="6"/>
      <c r="G39" s="7" t="s">
        <v>8</v>
      </c>
      <c r="H39" s="7" t="s">
        <v>9</v>
      </c>
      <c r="I39" s="7" t="s">
        <v>10</v>
      </c>
      <c r="J39" s="7" t="s">
        <v>11</v>
      </c>
      <c r="K39" s="6"/>
      <c r="L39" s="8" t="s">
        <v>12</v>
      </c>
      <c r="M39" s="6"/>
      <c r="N39" s="8" t="s">
        <v>13</v>
      </c>
      <c r="O39" s="6"/>
      <c r="P39" s="8" t="s">
        <v>14</v>
      </c>
    </row>
    <row r="40" spans="2:16" ht="12" customHeight="1">
      <c r="B40" s="9" t="s">
        <v>180</v>
      </c>
      <c r="C40" s="3">
        <f>D40+E40</f>
        <v>42</v>
      </c>
      <c r="D40" s="3">
        <v>26</v>
      </c>
      <c r="E40" s="3">
        <v>16</v>
      </c>
      <c r="I40" s="3">
        <v>1</v>
      </c>
      <c r="J40" s="3">
        <v>1</v>
      </c>
      <c r="L40" s="3">
        <f>(C40-N40)</f>
        <v>14</v>
      </c>
      <c r="N40" s="3">
        <v>28</v>
      </c>
      <c r="P40" s="3">
        <v>14</v>
      </c>
    </row>
    <row r="41" spans="2:16" ht="12" customHeight="1">
      <c r="B41" s="9" t="s">
        <v>57</v>
      </c>
      <c r="C41" s="3">
        <f>D41+E41</f>
        <v>50</v>
      </c>
      <c r="D41" s="3">
        <v>13</v>
      </c>
      <c r="E41" s="3">
        <v>37</v>
      </c>
      <c r="I41" s="3">
        <v>1</v>
      </c>
      <c r="J41" s="3">
        <v>2</v>
      </c>
      <c r="L41" s="3">
        <f>(C41-N41)</f>
        <v>31</v>
      </c>
      <c r="N41" s="3">
        <v>19</v>
      </c>
      <c r="P41" s="3">
        <v>17</v>
      </c>
    </row>
    <row r="42" spans="2:16" ht="12" customHeight="1">
      <c r="B42" s="9" t="s">
        <v>60</v>
      </c>
      <c r="C42" s="3">
        <f>D42+E42</f>
        <v>39</v>
      </c>
      <c r="D42" s="3">
        <v>24</v>
      </c>
      <c r="E42" s="3">
        <v>15</v>
      </c>
      <c r="H42" s="3">
        <v>4</v>
      </c>
      <c r="I42" s="3">
        <v>2</v>
      </c>
      <c r="L42" s="3">
        <f>(C42-N42)</f>
        <v>22</v>
      </c>
      <c r="N42" s="3">
        <v>17</v>
      </c>
      <c r="P42" s="3">
        <v>12</v>
      </c>
    </row>
    <row r="43" spans="2:16" ht="12" customHeight="1">
      <c r="B43" s="9" t="s">
        <v>63</v>
      </c>
      <c r="C43" s="3">
        <f>D43+E43</f>
        <v>23</v>
      </c>
      <c r="D43" s="3">
        <v>16</v>
      </c>
      <c r="E43" s="3">
        <v>7</v>
      </c>
      <c r="H43" s="3">
        <v>1</v>
      </c>
      <c r="I43" s="3">
        <v>1</v>
      </c>
      <c r="L43" s="3">
        <f>(C43-N43)</f>
        <v>14</v>
      </c>
      <c r="N43" s="3">
        <v>9</v>
      </c>
      <c r="P43" s="3">
        <v>4</v>
      </c>
    </row>
    <row r="45" spans="1:16" ht="12.75">
      <c r="A45" s="9" t="s">
        <v>5</v>
      </c>
      <c r="C45" s="3">
        <f>SUM(C40:C43)</f>
        <v>154</v>
      </c>
      <c r="D45" s="3">
        <f>SUM(D40:D43)</f>
        <v>79</v>
      </c>
      <c r="E45" s="3">
        <f>SUM(E40:E43)</f>
        <v>75</v>
      </c>
      <c r="G45" s="3">
        <f>SUM(G40:G43)</f>
        <v>0</v>
      </c>
      <c r="H45" s="3">
        <f>SUM(H40:H43)</f>
        <v>5</v>
      </c>
      <c r="I45" s="3">
        <f>SUM(I40:I43)</f>
        <v>5</v>
      </c>
      <c r="J45" s="3">
        <f>SUM(J40:J43)</f>
        <v>3</v>
      </c>
      <c r="L45" s="3">
        <f>SUM(L40:L43)</f>
        <v>81</v>
      </c>
      <c r="N45" s="3">
        <f>SUM(N40:N43)</f>
        <v>73</v>
      </c>
      <c r="P45" s="3">
        <f>SUM(P40:P43)</f>
        <v>47</v>
      </c>
    </row>
    <row r="49" spans="8:16" ht="12.75">
      <c r="H49" s="4" t="s">
        <v>1</v>
      </c>
      <c r="N49" s="5" t="s">
        <v>2</v>
      </c>
      <c r="P49" s="5" t="s">
        <v>3</v>
      </c>
    </row>
    <row r="50" spans="1:16" ht="12.75">
      <c r="A50" s="4" t="s">
        <v>66</v>
      </c>
      <c r="B50" s="6"/>
      <c r="C50" s="7" t="s">
        <v>5</v>
      </c>
      <c r="D50" s="7" t="s">
        <v>6</v>
      </c>
      <c r="E50" s="7" t="s">
        <v>7</v>
      </c>
      <c r="F50" s="6"/>
      <c r="G50" s="7" t="s">
        <v>8</v>
      </c>
      <c r="H50" s="7" t="s">
        <v>9</v>
      </c>
      <c r="I50" s="7" t="s">
        <v>10</v>
      </c>
      <c r="J50" s="7" t="s">
        <v>11</v>
      </c>
      <c r="K50" s="6"/>
      <c r="L50" s="8" t="s">
        <v>12</v>
      </c>
      <c r="M50" s="6"/>
      <c r="N50" s="8" t="s">
        <v>13</v>
      </c>
      <c r="O50" s="6"/>
      <c r="P50" s="8" t="s">
        <v>14</v>
      </c>
    </row>
    <row r="51" spans="2:16" ht="12" customHeight="1">
      <c r="B51" s="9" t="s">
        <v>181</v>
      </c>
      <c r="C51" s="3">
        <f>D51+E51</f>
        <v>118</v>
      </c>
      <c r="D51" s="3">
        <v>40</v>
      </c>
      <c r="E51" s="3">
        <v>78</v>
      </c>
      <c r="H51" s="3">
        <v>3</v>
      </c>
      <c r="I51" s="3">
        <v>2</v>
      </c>
      <c r="J51" s="3">
        <v>3</v>
      </c>
      <c r="L51" s="3">
        <f>(C51-N51)</f>
        <v>73</v>
      </c>
      <c r="N51" s="3">
        <f>18+27</f>
        <v>45</v>
      </c>
      <c r="P51" s="3">
        <f>15+19</f>
        <v>34</v>
      </c>
    </row>
    <row r="52" spans="2:16" ht="12" customHeight="1">
      <c r="B52" s="9" t="s">
        <v>182</v>
      </c>
      <c r="C52" s="3">
        <f>D52+E52</f>
        <v>241</v>
      </c>
      <c r="D52" s="3">
        <v>87</v>
      </c>
      <c r="E52" s="3">
        <v>154</v>
      </c>
      <c r="G52" s="3">
        <v>2</v>
      </c>
      <c r="H52" s="3">
        <v>12</v>
      </c>
      <c r="I52" s="3">
        <v>3</v>
      </c>
      <c r="J52" s="3">
        <v>5</v>
      </c>
      <c r="L52" s="3">
        <f>(C52-N52)</f>
        <v>211</v>
      </c>
      <c r="N52" s="3">
        <f>14+16</f>
        <v>30</v>
      </c>
      <c r="P52" s="3">
        <v>4</v>
      </c>
    </row>
    <row r="53" spans="2:16" ht="12.75">
      <c r="B53" s="9" t="s">
        <v>183</v>
      </c>
      <c r="C53" s="3">
        <f>D53+E53</f>
        <v>34</v>
      </c>
      <c r="D53" s="3">
        <v>22</v>
      </c>
      <c r="E53" s="3">
        <v>12</v>
      </c>
      <c r="I53" s="3">
        <v>1</v>
      </c>
      <c r="L53" s="3">
        <f>(C53-N53)</f>
        <v>22</v>
      </c>
      <c r="N53" s="3">
        <v>12</v>
      </c>
      <c r="P53" s="3">
        <v>4</v>
      </c>
    </row>
    <row r="54" spans="2:16" ht="12" customHeight="1">
      <c r="B54" s="9" t="s">
        <v>73</v>
      </c>
      <c r="C54" s="3">
        <f>D54+E54</f>
        <v>34</v>
      </c>
      <c r="D54" s="3">
        <v>22</v>
      </c>
      <c r="E54" s="3">
        <v>12</v>
      </c>
      <c r="H54" s="3">
        <v>6</v>
      </c>
      <c r="L54" s="3">
        <f>(C54-N54)</f>
        <v>16</v>
      </c>
      <c r="N54" s="3">
        <v>18</v>
      </c>
      <c r="P54" s="3">
        <v>13</v>
      </c>
    </row>
    <row r="56" spans="1:16" ht="12.75">
      <c r="A56" s="9" t="s">
        <v>5</v>
      </c>
      <c r="C56" s="3">
        <f>SUM(C51:C54)</f>
        <v>427</v>
      </c>
      <c r="D56" s="3">
        <f>SUM(D51:D54)</f>
        <v>171</v>
      </c>
      <c r="E56" s="3">
        <f>SUM(E51:E54)</f>
        <v>256</v>
      </c>
      <c r="G56" s="3">
        <f>SUM(G51:G54)</f>
        <v>2</v>
      </c>
      <c r="H56" s="3">
        <f>SUM(H51:H54)</f>
        <v>21</v>
      </c>
      <c r="I56" s="3">
        <f>SUM(I51:I54)</f>
        <v>6</v>
      </c>
      <c r="J56" s="3">
        <f>SUM(J51:J54)</f>
        <v>8</v>
      </c>
      <c r="L56" s="3">
        <f>SUM(L51:L54)</f>
        <v>322</v>
      </c>
      <c r="N56" s="3">
        <f>SUM(N51:N54)</f>
        <v>105</v>
      </c>
      <c r="P56" s="3">
        <f>SUM(P51:P54)</f>
        <v>55</v>
      </c>
    </row>
    <row r="58" spans="1:17" ht="15.75">
      <c r="A58" s="15" t="s">
        <v>224</v>
      </c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</row>
    <row r="59" spans="1:17" ht="15.7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</row>
    <row r="60" spans="1:17" ht="15.7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</row>
    <row r="61" spans="8:16" ht="12.75">
      <c r="H61" s="4" t="s">
        <v>1</v>
      </c>
      <c r="N61" s="5" t="s">
        <v>2</v>
      </c>
      <c r="P61" s="5" t="s">
        <v>3</v>
      </c>
    </row>
    <row r="62" spans="1:16" ht="12.75">
      <c r="A62" s="4" t="s">
        <v>75</v>
      </c>
      <c r="B62" s="6"/>
      <c r="C62" s="7" t="s">
        <v>5</v>
      </c>
      <c r="D62" s="7" t="s">
        <v>6</v>
      </c>
      <c r="E62" s="7" t="s">
        <v>7</v>
      </c>
      <c r="F62" s="6"/>
      <c r="G62" s="7" t="s">
        <v>8</v>
      </c>
      <c r="H62" s="7" t="s">
        <v>9</v>
      </c>
      <c r="I62" s="7" t="s">
        <v>10</v>
      </c>
      <c r="J62" s="7" t="s">
        <v>11</v>
      </c>
      <c r="K62" s="6"/>
      <c r="L62" s="8" t="s">
        <v>12</v>
      </c>
      <c r="M62" s="6"/>
      <c r="N62" s="8" t="s">
        <v>13</v>
      </c>
      <c r="O62" s="6"/>
      <c r="P62" s="8" t="s">
        <v>14</v>
      </c>
    </row>
    <row r="63" spans="2:16" ht="12" customHeight="1">
      <c r="B63" s="9" t="s">
        <v>184</v>
      </c>
      <c r="C63" s="3">
        <f aca="true" t="shared" si="3" ref="C63:C71">D63+E63</f>
        <v>59</v>
      </c>
      <c r="D63" s="3">
        <v>48</v>
      </c>
      <c r="E63" s="3">
        <v>11</v>
      </c>
      <c r="H63" s="3">
        <v>2</v>
      </c>
      <c r="I63" s="3">
        <v>1</v>
      </c>
      <c r="L63" s="3">
        <f aca="true" t="shared" si="4" ref="L63:L71">(C63-N63)</f>
        <v>20</v>
      </c>
      <c r="N63" s="3">
        <v>39</v>
      </c>
      <c r="P63" s="3">
        <v>36</v>
      </c>
    </row>
    <row r="64" spans="2:16" ht="12" customHeight="1">
      <c r="B64" s="9" t="s">
        <v>185</v>
      </c>
      <c r="C64" s="3">
        <f t="shared" si="3"/>
        <v>42</v>
      </c>
      <c r="D64" s="3">
        <v>32</v>
      </c>
      <c r="E64" s="3">
        <v>10</v>
      </c>
      <c r="H64" s="3">
        <v>1</v>
      </c>
      <c r="I64" s="3">
        <v>1</v>
      </c>
      <c r="J64" s="3">
        <v>3</v>
      </c>
      <c r="L64" s="3">
        <f t="shared" si="4"/>
        <v>16</v>
      </c>
      <c r="N64" s="3">
        <v>26</v>
      </c>
      <c r="P64" s="3">
        <v>17</v>
      </c>
    </row>
    <row r="65" spans="2:16" ht="12" customHeight="1">
      <c r="B65" s="9" t="s">
        <v>79</v>
      </c>
      <c r="C65" s="3">
        <f t="shared" si="3"/>
        <v>46</v>
      </c>
      <c r="D65" s="3">
        <v>36</v>
      </c>
      <c r="E65" s="3">
        <v>10</v>
      </c>
      <c r="J65" s="3">
        <v>1</v>
      </c>
      <c r="L65" s="3">
        <f t="shared" si="4"/>
        <v>9</v>
      </c>
      <c r="N65" s="3">
        <v>37</v>
      </c>
      <c r="P65" s="3">
        <v>25</v>
      </c>
    </row>
    <row r="66" spans="2:16" ht="12" customHeight="1">
      <c r="B66" s="9" t="s">
        <v>186</v>
      </c>
      <c r="C66" s="3">
        <f t="shared" si="3"/>
        <v>110</v>
      </c>
      <c r="D66" s="3">
        <v>96</v>
      </c>
      <c r="E66" s="3">
        <v>14</v>
      </c>
      <c r="H66" s="3">
        <v>3</v>
      </c>
      <c r="J66" s="3">
        <v>1</v>
      </c>
      <c r="L66" s="3">
        <f t="shared" si="4"/>
        <v>42</v>
      </c>
      <c r="N66" s="3">
        <v>68</v>
      </c>
      <c r="P66" s="3">
        <f>48+3</f>
        <v>51</v>
      </c>
    </row>
    <row r="67" spans="2:16" ht="12" customHeight="1">
      <c r="B67" s="9" t="s">
        <v>187</v>
      </c>
      <c r="C67" s="3">
        <f t="shared" si="3"/>
        <v>242</v>
      </c>
      <c r="D67" s="3">
        <v>201</v>
      </c>
      <c r="E67" s="3">
        <v>41</v>
      </c>
      <c r="H67" s="3">
        <v>4</v>
      </c>
      <c r="I67" s="3">
        <v>4</v>
      </c>
      <c r="J67" s="3">
        <v>2</v>
      </c>
      <c r="L67" s="3">
        <f t="shared" si="4"/>
        <v>53</v>
      </c>
      <c r="N67" s="3">
        <f>154+35</f>
        <v>189</v>
      </c>
      <c r="P67" s="3">
        <f>131+33</f>
        <v>164</v>
      </c>
    </row>
    <row r="68" spans="2:16" ht="12" customHeight="1">
      <c r="B68" s="9" t="s">
        <v>188</v>
      </c>
      <c r="C68" s="3">
        <f t="shared" si="3"/>
        <v>111</v>
      </c>
      <c r="D68" s="3">
        <v>96</v>
      </c>
      <c r="E68" s="3">
        <v>15</v>
      </c>
      <c r="I68" s="3">
        <v>1</v>
      </c>
      <c r="L68" s="3">
        <f t="shared" si="4"/>
        <v>28</v>
      </c>
      <c r="N68" s="3">
        <f>76+7</f>
        <v>83</v>
      </c>
      <c r="P68" s="3">
        <f>76+7</f>
        <v>83</v>
      </c>
    </row>
    <row r="69" spans="2:16" ht="12" customHeight="1">
      <c r="B69" s="9" t="s">
        <v>189</v>
      </c>
      <c r="C69" s="3">
        <f t="shared" si="3"/>
        <v>69</v>
      </c>
      <c r="D69" s="3">
        <v>51</v>
      </c>
      <c r="E69" s="3">
        <v>18</v>
      </c>
      <c r="I69" s="3">
        <v>1</v>
      </c>
      <c r="L69" s="3">
        <f t="shared" si="4"/>
        <v>21</v>
      </c>
      <c r="N69" s="3">
        <f>34+14</f>
        <v>48</v>
      </c>
      <c r="P69" s="3">
        <f>27+11</f>
        <v>38</v>
      </c>
    </row>
    <row r="70" spans="2:16" ht="12" customHeight="1">
      <c r="B70" s="9" t="s">
        <v>87</v>
      </c>
      <c r="C70" s="3">
        <f t="shared" si="3"/>
        <v>162</v>
      </c>
      <c r="D70" s="3">
        <v>148</v>
      </c>
      <c r="E70" s="3">
        <v>14</v>
      </c>
      <c r="H70" s="3">
        <v>2</v>
      </c>
      <c r="I70" s="3">
        <v>3</v>
      </c>
      <c r="J70" s="3">
        <v>2</v>
      </c>
      <c r="L70" s="3">
        <f t="shared" si="4"/>
        <v>78</v>
      </c>
      <c r="N70" s="3">
        <f>72+12</f>
        <v>84</v>
      </c>
      <c r="P70" s="3">
        <f>57+11</f>
        <v>68</v>
      </c>
    </row>
    <row r="71" spans="2:16" ht="12" customHeight="1">
      <c r="B71" s="9" t="s">
        <v>190</v>
      </c>
      <c r="C71" s="3">
        <f t="shared" si="3"/>
        <v>25</v>
      </c>
      <c r="D71" s="3">
        <v>17</v>
      </c>
      <c r="E71" s="3">
        <v>8</v>
      </c>
      <c r="H71" s="3">
        <v>1</v>
      </c>
      <c r="I71" s="3">
        <v>1</v>
      </c>
      <c r="J71" s="3">
        <v>1</v>
      </c>
      <c r="L71" s="3">
        <f t="shared" si="4"/>
        <v>13</v>
      </c>
      <c r="N71" s="3">
        <v>12</v>
      </c>
      <c r="P71" s="3">
        <v>3</v>
      </c>
    </row>
    <row r="73" spans="1:16" ht="12.75">
      <c r="A73" s="9" t="s">
        <v>5</v>
      </c>
      <c r="C73" s="3">
        <f>SUM(C63:C71)</f>
        <v>866</v>
      </c>
      <c r="D73" s="3">
        <f>SUM(D63:D71)</f>
        <v>725</v>
      </c>
      <c r="E73" s="3">
        <f>SUM(E63:E71)</f>
        <v>141</v>
      </c>
      <c r="G73" s="3">
        <f>SUM(G63:G71)</f>
        <v>0</v>
      </c>
      <c r="H73" s="3">
        <f>SUM(H63:H71)</f>
        <v>13</v>
      </c>
      <c r="I73" s="3">
        <f>SUM(I63:I71)</f>
        <v>12</v>
      </c>
      <c r="J73" s="3">
        <f>SUM(J63:J71)</f>
        <v>10</v>
      </c>
      <c r="L73" s="3">
        <f>SUM(L63:L71)</f>
        <v>280</v>
      </c>
      <c r="N73" s="3">
        <f>SUM(N63:N71)</f>
        <v>586</v>
      </c>
      <c r="P73" s="3">
        <f>SUM(P63:P71)</f>
        <v>485</v>
      </c>
    </row>
    <row r="77" spans="8:16" ht="12.75">
      <c r="H77" s="4" t="s">
        <v>1</v>
      </c>
      <c r="N77" s="5" t="s">
        <v>2</v>
      </c>
      <c r="P77" s="5" t="s">
        <v>3</v>
      </c>
    </row>
    <row r="78" spans="1:16" ht="12.75">
      <c r="A78" s="4" t="s">
        <v>191</v>
      </c>
      <c r="B78" s="6"/>
      <c r="C78" s="7" t="s">
        <v>5</v>
      </c>
      <c r="D78" s="7" t="s">
        <v>6</v>
      </c>
      <c r="E78" s="7" t="s">
        <v>7</v>
      </c>
      <c r="F78" s="6"/>
      <c r="G78" s="7" t="s">
        <v>8</v>
      </c>
      <c r="H78" s="7" t="s">
        <v>9</v>
      </c>
      <c r="I78" s="7" t="s">
        <v>10</v>
      </c>
      <c r="J78" s="7" t="s">
        <v>11</v>
      </c>
      <c r="K78" s="6"/>
      <c r="L78" s="8" t="s">
        <v>12</v>
      </c>
      <c r="M78" s="6"/>
      <c r="N78" s="8" t="s">
        <v>13</v>
      </c>
      <c r="O78" s="6"/>
      <c r="P78" s="8" t="s">
        <v>14</v>
      </c>
    </row>
    <row r="79" spans="1:16" ht="12.75">
      <c r="A79" s="9"/>
      <c r="B79" s="9" t="s">
        <v>90</v>
      </c>
      <c r="C79" s="3">
        <f aca="true" t="shared" si="5" ref="C79:C85">D79+E79</f>
        <v>7</v>
      </c>
      <c r="D79" s="3">
        <v>2</v>
      </c>
      <c r="E79" s="3">
        <v>5</v>
      </c>
      <c r="L79" s="3">
        <f aca="true" t="shared" si="6" ref="L79:L85">(C79-N79)</f>
        <v>4</v>
      </c>
      <c r="N79" s="13">
        <v>3</v>
      </c>
      <c r="P79" s="13"/>
    </row>
    <row r="80" spans="1:16" ht="12.75">
      <c r="A80" s="9"/>
      <c r="B80" s="9" t="s">
        <v>226</v>
      </c>
      <c r="C80" s="3">
        <f t="shared" si="5"/>
        <v>2</v>
      </c>
      <c r="D80" s="3">
        <v>0</v>
      </c>
      <c r="E80" s="3">
        <v>2</v>
      </c>
      <c r="L80" s="3">
        <f t="shared" si="6"/>
        <v>1</v>
      </c>
      <c r="N80" s="13">
        <v>1</v>
      </c>
      <c r="P80" s="13">
        <v>1</v>
      </c>
    </row>
    <row r="81" spans="2:16" ht="12" customHeight="1">
      <c r="B81" s="9" t="s">
        <v>227</v>
      </c>
      <c r="C81" s="3">
        <f t="shared" si="5"/>
        <v>15</v>
      </c>
      <c r="D81" s="3">
        <v>0</v>
      </c>
      <c r="E81" s="3">
        <v>15</v>
      </c>
      <c r="H81" s="3">
        <v>1</v>
      </c>
      <c r="L81" s="3">
        <f t="shared" si="6"/>
        <v>7</v>
      </c>
      <c r="N81" s="3">
        <v>8</v>
      </c>
      <c r="P81" s="3">
        <v>3</v>
      </c>
    </row>
    <row r="82" spans="2:16" ht="12" customHeight="1">
      <c r="B82" s="9" t="s">
        <v>192</v>
      </c>
      <c r="C82" s="3">
        <f t="shared" si="5"/>
        <v>44</v>
      </c>
      <c r="D82" s="3">
        <v>8</v>
      </c>
      <c r="E82" s="3">
        <v>36</v>
      </c>
      <c r="H82" s="3">
        <v>1</v>
      </c>
      <c r="I82" s="3">
        <v>4</v>
      </c>
      <c r="J82" s="3">
        <v>2</v>
      </c>
      <c r="L82" s="3">
        <f t="shared" si="6"/>
        <v>14</v>
      </c>
      <c r="N82" s="3">
        <v>30</v>
      </c>
      <c r="P82" s="3">
        <v>13</v>
      </c>
    </row>
    <row r="83" spans="2:16" ht="12" customHeight="1">
      <c r="B83" s="9" t="s">
        <v>229</v>
      </c>
      <c r="C83" s="3">
        <f t="shared" si="5"/>
        <v>17</v>
      </c>
      <c r="D83" s="3">
        <v>9</v>
      </c>
      <c r="E83" s="3">
        <v>8</v>
      </c>
      <c r="I83" s="3">
        <v>1</v>
      </c>
      <c r="L83" s="3">
        <f t="shared" si="6"/>
        <v>4</v>
      </c>
      <c r="N83" s="3">
        <v>13</v>
      </c>
      <c r="P83" s="3">
        <v>11</v>
      </c>
    </row>
    <row r="84" spans="2:16" ht="12" customHeight="1">
      <c r="B84" s="9" t="s">
        <v>100</v>
      </c>
      <c r="C84" s="3">
        <f t="shared" si="5"/>
        <v>98</v>
      </c>
      <c r="D84" s="3">
        <v>19</v>
      </c>
      <c r="E84" s="3">
        <v>79</v>
      </c>
      <c r="H84" s="3">
        <v>2</v>
      </c>
      <c r="I84" s="3">
        <v>2</v>
      </c>
      <c r="J84" s="3">
        <v>6</v>
      </c>
      <c r="L84" s="3">
        <f t="shared" si="6"/>
        <v>61</v>
      </c>
      <c r="N84" s="3">
        <v>37</v>
      </c>
      <c r="P84" s="3">
        <v>16</v>
      </c>
    </row>
    <row r="85" spans="2:16" ht="12" customHeight="1">
      <c r="B85" s="9" t="s">
        <v>228</v>
      </c>
      <c r="C85" s="3">
        <f t="shared" si="5"/>
        <v>24</v>
      </c>
      <c r="D85" s="3">
        <v>1</v>
      </c>
      <c r="E85" s="3">
        <v>23</v>
      </c>
      <c r="H85" s="3">
        <v>1</v>
      </c>
      <c r="L85" s="3">
        <f t="shared" si="6"/>
        <v>5</v>
      </c>
      <c r="N85" s="3">
        <v>19</v>
      </c>
      <c r="P85" s="3">
        <v>11</v>
      </c>
    </row>
    <row r="87" spans="1:16" ht="12.75">
      <c r="A87" s="9" t="s">
        <v>5</v>
      </c>
      <c r="C87" s="3">
        <f>SUM(C79:C85)</f>
        <v>207</v>
      </c>
      <c r="D87" s="3">
        <f>SUM(D79:D85)</f>
        <v>39</v>
      </c>
      <c r="E87" s="3">
        <f>SUM(E79:E85)</f>
        <v>168</v>
      </c>
      <c r="G87" s="3">
        <f>SUM(G79:G85)</f>
        <v>0</v>
      </c>
      <c r="H87" s="3">
        <f>SUM(H79:H85)</f>
        <v>5</v>
      </c>
      <c r="I87" s="3">
        <f>SUM(I79:I85)</f>
        <v>7</v>
      </c>
      <c r="J87" s="3">
        <f>SUM(J79:J85)</f>
        <v>8</v>
      </c>
      <c r="L87" s="3">
        <f>SUM(L79:L85)</f>
        <v>96</v>
      </c>
      <c r="N87" s="3">
        <f>SUM(N79:N85)</f>
        <v>111</v>
      </c>
      <c r="P87" s="3">
        <f>SUM(P79:P85)</f>
        <v>55</v>
      </c>
    </row>
    <row r="89" ht="12.75">
      <c r="A89" s="14" t="s">
        <v>230</v>
      </c>
    </row>
    <row r="90" ht="12.75">
      <c r="A90" s="14"/>
    </row>
    <row r="91" spans="8:16" ht="12.75">
      <c r="H91" s="4" t="s">
        <v>1</v>
      </c>
      <c r="N91" s="5" t="s">
        <v>2</v>
      </c>
      <c r="P91" s="5" t="s">
        <v>3</v>
      </c>
    </row>
    <row r="92" spans="1:16" ht="12.75">
      <c r="A92" s="4" t="s">
        <v>103</v>
      </c>
      <c r="B92" s="6"/>
      <c r="C92" s="7" t="s">
        <v>5</v>
      </c>
      <c r="D92" s="7" t="s">
        <v>6</v>
      </c>
      <c r="E92" s="7" t="s">
        <v>7</v>
      </c>
      <c r="F92" s="6"/>
      <c r="G92" s="7" t="s">
        <v>8</v>
      </c>
      <c r="H92" s="7" t="s">
        <v>9</v>
      </c>
      <c r="I92" s="7" t="s">
        <v>10</v>
      </c>
      <c r="J92" s="7" t="s">
        <v>11</v>
      </c>
      <c r="K92" s="6"/>
      <c r="L92" s="8" t="s">
        <v>12</v>
      </c>
      <c r="M92" s="6"/>
      <c r="N92" s="8" t="s">
        <v>13</v>
      </c>
      <c r="O92" s="6"/>
      <c r="P92" s="8" t="s">
        <v>14</v>
      </c>
    </row>
    <row r="93" spans="2:14" ht="12" customHeight="1">
      <c r="B93" s="9" t="s">
        <v>108</v>
      </c>
      <c r="C93" s="3">
        <f aca="true" t="shared" si="7" ref="C93:C110">D93+E93</f>
        <v>14</v>
      </c>
      <c r="D93" s="3">
        <v>5</v>
      </c>
      <c r="E93" s="3">
        <v>9</v>
      </c>
      <c r="J93" s="3">
        <v>1</v>
      </c>
      <c r="L93" s="3">
        <f>(C93-N93)</f>
        <v>9</v>
      </c>
      <c r="N93" s="3">
        <v>5</v>
      </c>
    </row>
    <row r="94" spans="2:12" ht="12" customHeight="1">
      <c r="B94" s="9" t="s">
        <v>163</v>
      </c>
      <c r="C94" s="3">
        <f t="shared" si="7"/>
        <v>0</v>
      </c>
      <c r="D94" s="3">
        <v>0</v>
      </c>
      <c r="E94" s="3">
        <v>0</v>
      </c>
      <c r="L94" s="3">
        <f>(C94-N94)</f>
        <v>0</v>
      </c>
    </row>
    <row r="95" spans="2:16" ht="12" customHeight="1">
      <c r="B95" s="9" t="s">
        <v>193</v>
      </c>
      <c r="C95" s="3">
        <f t="shared" si="7"/>
        <v>52</v>
      </c>
      <c r="D95" s="3">
        <v>27</v>
      </c>
      <c r="E95" s="3">
        <v>25</v>
      </c>
      <c r="H95" s="3">
        <v>1</v>
      </c>
      <c r="I95" s="3">
        <v>1</v>
      </c>
      <c r="L95" s="3">
        <f aca="true" t="shared" si="8" ref="L95:L110">(C95-N95)</f>
        <v>12</v>
      </c>
      <c r="N95" s="3">
        <f>19+21</f>
        <v>40</v>
      </c>
      <c r="P95" s="3">
        <v>29</v>
      </c>
    </row>
    <row r="96" spans="2:16" ht="12" customHeight="1">
      <c r="B96" s="9" t="s">
        <v>194</v>
      </c>
      <c r="C96" s="3">
        <f t="shared" si="7"/>
        <v>48</v>
      </c>
      <c r="D96" s="3">
        <v>26</v>
      </c>
      <c r="E96" s="3">
        <v>22</v>
      </c>
      <c r="L96" s="3">
        <f t="shared" si="8"/>
        <v>17</v>
      </c>
      <c r="N96" s="3">
        <f>17+14</f>
        <v>31</v>
      </c>
      <c r="P96" s="3">
        <v>14</v>
      </c>
    </row>
    <row r="97" spans="2:16" ht="12" customHeight="1">
      <c r="B97" s="9" t="s">
        <v>114</v>
      </c>
      <c r="C97" s="3">
        <f t="shared" si="7"/>
        <v>182</v>
      </c>
      <c r="D97" s="3">
        <v>129</v>
      </c>
      <c r="E97" s="3">
        <v>53</v>
      </c>
      <c r="G97" s="3">
        <v>1</v>
      </c>
      <c r="I97" s="3">
        <v>5</v>
      </c>
      <c r="J97" s="3">
        <v>2</v>
      </c>
      <c r="L97" s="3">
        <f t="shared" si="8"/>
        <v>29</v>
      </c>
      <c r="N97" s="3">
        <f>104+49</f>
        <v>153</v>
      </c>
      <c r="P97" s="3">
        <f>58+24</f>
        <v>82</v>
      </c>
    </row>
    <row r="98" spans="2:16" ht="12" customHeight="1">
      <c r="B98" s="9" t="s">
        <v>115</v>
      </c>
      <c r="C98" s="3">
        <f t="shared" si="7"/>
        <v>115</v>
      </c>
      <c r="D98" s="3">
        <v>89</v>
      </c>
      <c r="E98" s="3">
        <v>26</v>
      </c>
      <c r="L98" s="3">
        <f t="shared" si="8"/>
        <v>18</v>
      </c>
      <c r="N98" s="3">
        <f>72+25</f>
        <v>97</v>
      </c>
      <c r="P98" s="3">
        <f>62+25</f>
        <v>87</v>
      </c>
    </row>
    <row r="99" spans="2:16" ht="12" customHeight="1">
      <c r="B99" s="9" t="s">
        <v>195</v>
      </c>
      <c r="C99" s="3">
        <f t="shared" si="7"/>
        <v>75</v>
      </c>
      <c r="D99" s="3">
        <v>52</v>
      </c>
      <c r="E99" s="3">
        <v>23</v>
      </c>
      <c r="H99" s="3">
        <v>1</v>
      </c>
      <c r="L99" s="3">
        <f t="shared" si="8"/>
        <v>11</v>
      </c>
      <c r="N99" s="3">
        <f>45+19</f>
        <v>64</v>
      </c>
      <c r="P99" s="3">
        <f>42+19</f>
        <v>61</v>
      </c>
    </row>
    <row r="100" spans="2:16" ht="12" customHeight="1">
      <c r="B100" s="9" t="s">
        <v>118</v>
      </c>
      <c r="C100" s="3">
        <f t="shared" si="7"/>
        <v>126</v>
      </c>
      <c r="D100" s="3">
        <v>38</v>
      </c>
      <c r="E100" s="3">
        <v>88</v>
      </c>
      <c r="H100" s="3">
        <v>5</v>
      </c>
      <c r="I100" s="3">
        <v>4</v>
      </c>
      <c r="J100" s="3">
        <v>1</v>
      </c>
      <c r="L100" s="3">
        <f t="shared" si="8"/>
        <v>63</v>
      </c>
      <c r="N100" s="3">
        <f>21+42</f>
        <v>63</v>
      </c>
      <c r="P100" s="3">
        <v>14</v>
      </c>
    </row>
    <row r="101" spans="2:16" ht="12" customHeight="1">
      <c r="B101" s="9" t="s">
        <v>196</v>
      </c>
      <c r="C101" s="3">
        <f t="shared" si="7"/>
        <v>32</v>
      </c>
      <c r="D101" s="3">
        <v>20</v>
      </c>
      <c r="E101" s="3">
        <v>12</v>
      </c>
      <c r="L101" s="3">
        <f t="shared" si="8"/>
        <v>11</v>
      </c>
      <c r="N101" s="3">
        <f>13+8</f>
        <v>21</v>
      </c>
      <c r="P101" s="3">
        <v>13</v>
      </c>
    </row>
    <row r="102" spans="2:16" ht="12" customHeight="1">
      <c r="B102" s="9" t="s">
        <v>125</v>
      </c>
      <c r="C102" s="3">
        <f t="shared" si="7"/>
        <v>42</v>
      </c>
      <c r="D102" s="3">
        <v>27</v>
      </c>
      <c r="E102" s="3">
        <v>15</v>
      </c>
      <c r="I102" s="3">
        <v>1</v>
      </c>
      <c r="J102" s="3">
        <v>2</v>
      </c>
      <c r="L102" s="3">
        <f t="shared" si="8"/>
        <v>32</v>
      </c>
      <c r="N102" s="3">
        <v>10</v>
      </c>
      <c r="P102" s="3">
        <v>1</v>
      </c>
    </row>
    <row r="103" spans="2:16" ht="12" customHeight="1">
      <c r="B103" s="9" t="s">
        <v>127</v>
      </c>
      <c r="C103" s="3">
        <f t="shared" si="7"/>
        <v>28</v>
      </c>
      <c r="D103" s="3">
        <v>15</v>
      </c>
      <c r="E103" s="3">
        <v>13</v>
      </c>
      <c r="H103" s="3">
        <v>2</v>
      </c>
      <c r="L103" s="3">
        <f t="shared" si="8"/>
        <v>15</v>
      </c>
      <c r="N103" s="3">
        <v>13</v>
      </c>
      <c r="P103" s="3">
        <v>10</v>
      </c>
    </row>
    <row r="104" spans="2:16" ht="12" customHeight="1">
      <c r="B104" s="9" t="s">
        <v>130</v>
      </c>
      <c r="C104" s="3">
        <f t="shared" si="7"/>
        <v>53</v>
      </c>
      <c r="D104" s="3">
        <v>38</v>
      </c>
      <c r="E104" s="3">
        <v>15</v>
      </c>
      <c r="J104" s="3">
        <v>1</v>
      </c>
      <c r="L104" s="3">
        <f t="shared" si="8"/>
        <v>11</v>
      </c>
      <c r="N104" s="3">
        <f>30+12</f>
        <v>42</v>
      </c>
      <c r="P104" s="3">
        <f>19+6</f>
        <v>25</v>
      </c>
    </row>
    <row r="105" spans="2:16" ht="12" customHeight="1">
      <c r="B105" s="9" t="s">
        <v>197</v>
      </c>
      <c r="C105" s="3">
        <f t="shared" si="7"/>
        <v>67</v>
      </c>
      <c r="D105" s="3">
        <v>58</v>
      </c>
      <c r="E105" s="3">
        <v>9</v>
      </c>
      <c r="I105" s="3">
        <v>1</v>
      </c>
      <c r="L105" s="3">
        <f t="shared" si="8"/>
        <v>10</v>
      </c>
      <c r="N105" s="3">
        <f>48+9</f>
        <v>57</v>
      </c>
      <c r="P105" s="3">
        <f>37+6</f>
        <v>43</v>
      </c>
    </row>
    <row r="106" spans="2:16" ht="12" customHeight="1">
      <c r="B106" s="9" t="s">
        <v>137</v>
      </c>
      <c r="C106" s="3">
        <f t="shared" si="7"/>
        <v>55</v>
      </c>
      <c r="D106" s="3">
        <v>26</v>
      </c>
      <c r="E106" s="3">
        <v>29</v>
      </c>
      <c r="H106" s="3">
        <v>4</v>
      </c>
      <c r="I106" s="3">
        <v>1</v>
      </c>
      <c r="J106" s="3">
        <v>1</v>
      </c>
      <c r="L106" s="3">
        <f t="shared" si="8"/>
        <v>37</v>
      </c>
      <c r="N106" s="3">
        <v>18</v>
      </c>
      <c r="P106" s="3">
        <v>10</v>
      </c>
    </row>
    <row r="107" spans="2:16" ht="12" customHeight="1">
      <c r="B107" s="9" t="s">
        <v>144</v>
      </c>
      <c r="C107" s="3">
        <f t="shared" si="7"/>
        <v>49</v>
      </c>
      <c r="D107" s="3">
        <v>19</v>
      </c>
      <c r="E107" s="3">
        <v>30</v>
      </c>
      <c r="J107" s="3">
        <v>2</v>
      </c>
      <c r="L107" s="3">
        <f t="shared" si="8"/>
        <v>24</v>
      </c>
      <c r="N107" s="3">
        <v>25</v>
      </c>
      <c r="P107" s="3">
        <v>1</v>
      </c>
    </row>
    <row r="108" spans="2:16" ht="12" customHeight="1">
      <c r="B108" s="9" t="s">
        <v>198</v>
      </c>
      <c r="C108" s="3">
        <f t="shared" si="7"/>
        <v>41</v>
      </c>
      <c r="D108" s="3">
        <v>18</v>
      </c>
      <c r="E108" s="3">
        <v>23</v>
      </c>
      <c r="G108" s="3">
        <v>1</v>
      </c>
      <c r="H108" s="3">
        <v>7</v>
      </c>
      <c r="L108" s="3">
        <f t="shared" si="8"/>
        <v>19</v>
      </c>
      <c r="N108" s="3">
        <v>22</v>
      </c>
      <c r="P108" s="3">
        <v>11</v>
      </c>
    </row>
    <row r="109" spans="2:16" ht="12" customHeight="1">
      <c r="B109" s="9" t="s">
        <v>150</v>
      </c>
      <c r="C109" s="3">
        <f t="shared" si="7"/>
        <v>124</v>
      </c>
      <c r="D109" s="3">
        <v>49</v>
      </c>
      <c r="E109" s="3">
        <v>75</v>
      </c>
      <c r="H109" s="3">
        <v>1</v>
      </c>
      <c r="I109" s="3">
        <v>7</v>
      </c>
      <c r="J109" s="3">
        <v>1</v>
      </c>
      <c r="L109" s="3">
        <f t="shared" si="8"/>
        <v>15</v>
      </c>
      <c r="N109" s="3">
        <f>38+71</f>
        <v>109</v>
      </c>
      <c r="P109" s="3">
        <v>66</v>
      </c>
    </row>
    <row r="110" spans="2:16" ht="12" customHeight="1">
      <c r="B110" s="9" t="s">
        <v>199</v>
      </c>
      <c r="C110" s="3">
        <f t="shared" si="7"/>
        <v>43</v>
      </c>
      <c r="D110" s="3">
        <v>27</v>
      </c>
      <c r="E110" s="3">
        <v>16</v>
      </c>
      <c r="H110" s="3">
        <v>1</v>
      </c>
      <c r="J110" s="3">
        <v>1</v>
      </c>
      <c r="L110" s="3">
        <f t="shared" si="8"/>
        <v>6</v>
      </c>
      <c r="N110" s="3">
        <f>25+12</f>
        <v>37</v>
      </c>
      <c r="P110" s="3">
        <f>14+10</f>
        <v>24</v>
      </c>
    </row>
    <row r="112" spans="1:16" ht="12.75">
      <c r="A112" s="9" t="s">
        <v>5</v>
      </c>
      <c r="C112" s="3">
        <f>SUM(C93:C110)</f>
        <v>1146</v>
      </c>
      <c r="D112" s="3">
        <f>SUM(D93:D110)</f>
        <v>663</v>
      </c>
      <c r="E112" s="3">
        <f>SUM(E93:E110)</f>
        <v>483</v>
      </c>
      <c r="G112" s="3">
        <f>SUM(G93:G110)</f>
        <v>2</v>
      </c>
      <c r="H112" s="3">
        <f>SUM(H93:H110)</f>
        <v>22</v>
      </c>
      <c r="I112" s="3">
        <f>SUM(I93:I110)</f>
        <v>20</v>
      </c>
      <c r="J112" s="3">
        <f>SUM(J93:J110)</f>
        <v>12</v>
      </c>
      <c r="L112" s="3">
        <f>SUM(L93:L110)</f>
        <v>339</v>
      </c>
      <c r="N112" s="3">
        <f>SUM(N93:N110)</f>
        <v>807</v>
      </c>
      <c r="P112" s="3">
        <f>SUM(P93:P110)</f>
        <v>491</v>
      </c>
    </row>
    <row r="114" spans="1:17" ht="15.75">
      <c r="A114" s="15" t="s">
        <v>224</v>
      </c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</row>
    <row r="115" spans="1:17" ht="15.75">
      <c r="A115" s="1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</row>
    <row r="117" spans="8:16" ht="12.75">
      <c r="H117" s="4" t="s">
        <v>1</v>
      </c>
      <c r="N117" s="5" t="s">
        <v>2</v>
      </c>
      <c r="P117" s="5" t="s">
        <v>3</v>
      </c>
    </row>
    <row r="118" spans="1:16" ht="12.75">
      <c r="A118" s="4" t="s">
        <v>153</v>
      </c>
      <c r="B118" s="6"/>
      <c r="C118" s="7" t="s">
        <v>5</v>
      </c>
      <c r="D118" s="7" t="s">
        <v>6</v>
      </c>
      <c r="E118" s="7" t="s">
        <v>7</v>
      </c>
      <c r="F118" s="6"/>
      <c r="G118" s="7" t="s">
        <v>8</v>
      </c>
      <c r="H118" s="7" t="s">
        <v>9</v>
      </c>
      <c r="I118" s="7" t="s">
        <v>10</v>
      </c>
      <c r="J118" s="7" t="s">
        <v>11</v>
      </c>
      <c r="K118" s="6"/>
      <c r="L118" s="8" t="s">
        <v>12</v>
      </c>
      <c r="M118" s="6"/>
      <c r="N118" s="8" t="s">
        <v>13</v>
      </c>
      <c r="O118" s="6"/>
      <c r="P118" s="8" t="s">
        <v>14</v>
      </c>
    </row>
    <row r="119" spans="2:16" ht="12" customHeight="1">
      <c r="B119" s="9" t="s">
        <v>200</v>
      </c>
      <c r="C119" s="3">
        <f>D119+E119</f>
        <v>20</v>
      </c>
      <c r="D119" s="3">
        <v>12</v>
      </c>
      <c r="E119" s="3">
        <v>8</v>
      </c>
      <c r="L119" s="3">
        <f>(C119-N119)</f>
        <v>11</v>
      </c>
      <c r="N119" s="3">
        <v>9</v>
      </c>
      <c r="P119" s="3">
        <v>8</v>
      </c>
    </row>
    <row r="120" spans="2:12" ht="12" customHeight="1">
      <c r="B120" s="9" t="s">
        <v>201</v>
      </c>
      <c r="C120" s="3">
        <f>D120+E120</f>
        <v>0</v>
      </c>
      <c r="D120" s="3">
        <v>0</v>
      </c>
      <c r="E120" s="3">
        <v>0</v>
      </c>
      <c r="L120" s="3">
        <f>(C120-N120)</f>
        <v>0</v>
      </c>
    </row>
    <row r="121" spans="2:16" ht="12" customHeight="1">
      <c r="B121" s="9" t="s">
        <v>202</v>
      </c>
      <c r="C121" s="3">
        <f>D121+E121</f>
        <v>8</v>
      </c>
      <c r="D121" s="3">
        <v>6</v>
      </c>
      <c r="E121" s="3">
        <v>2</v>
      </c>
      <c r="L121" s="3">
        <f>(C121-N121)</f>
        <v>5</v>
      </c>
      <c r="N121" s="3">
        <v>3</v>
      </c>
      <c r="P121" s="3">
        <v>3</v>
      </c>
    </row>
    <row r="122" spans="2:16" ht="12" customHeight="1">
      <c r="B122" s="9" t="s">
        <v>203</v>
      </c>
      <c r="C122" s="3">
        <f>D122+E122</f>
        <v>38</v>
      </c>
      <c r="D122" s="3">
        <v>22</v>
      </c>
      <c r="E122" s="3">
        <v>16</v>
      </c>
      <c r="I122" s="3">
        <v>1</v>
      </c>
      <c r="L122" s="3">
        <f>(C122-N122)</f>
        <v>17</v>
      </c>
      <c r="N122" s="3">
        <v>21</v>
      </c>
      <c r="P122" s="3">
        <v>12</v>
      </c>
    </row>
    <row r="123" spans="2:16" ht="12" customHeight="1">
      <c r="B123" s="9" t="s">
        <v>204</v>
      </c>
      <c r="C123" s="3">
        <f>D123+E123</f>
        <v>17</v>
      </c>
      <c r="D123" s="3">
        <v>12</v>
      </c>
      <c r="E123" s="3">
        <v>5</v>
      </c>
      <c r="J123" s="3">
        <v>1</v>
      </c>
      <c r="L123" s="3">
        <f>(C123-N123)</f>
        <v>8</v>
      </c>
      <c r="N123" s="3">
        <v>9</v>
      </c>
      <c r="P123" s="3">
        <v>6</v>
      </c>
    </row>
    <row r="125" spans="1:16" ht="12.75">
      <c r="A125" s="9" t="s">
        <v>5</v>
      </c>
      <c r="C125" s="3">
        <f>SUM(C119:C123)</f>
        <v>83</v>
      </c>
      <c r="D125" s="3">
        <f>SUM(D119:D123)</f>
        <v>52</v>
      </c>
      <c r="E125" s="3">
        <f>SUM(E119:E123)</f>
        <v>31</v>
      </c>
      <c r="G125" s="3">
        <f>SUM(G119:G123)</f>
        <v>0</v>
      </c>
      <c r="H125" s="3">
        <f>SUM(H119:H123)</f>
        <v>0</v>
      </c>
      <c r="I125" s="3">
        <f>SUM(I119:I123)</f>
        <v>1</v>
      </c>
      <c r="J125" s="3">
        <f>SUM(J119:J123)</f>
        <v>1</v>
      </c>
      <c r="L125" s="3">
        <f>SUM(L119:L123)</f>
        <v>41</v>
      </c>
      <c r="N125" s="3">
        <f>SUM(N119:N123)</f>
        <v>42</v>
      </c>
      <c r="P125" s="3">
        <f>SUM(P119:P123)</f>
        <v>29</v>
      </c>
    </row>
    <row r="129" spans="1:16" ht="12.75">
      <c r="A129" s="9" t="s">
        <v>205</v>
      </c>
      <c r="H129" s="4" t="s">
        <v>1</v>
      </c>
      <c r="N129" s="5" t="s">
        <v>2</v>
      </c>
      <c r="P129" s="5" t="s">
        <v>3</v>
      </c>
    </row>
    <row r="130" spans="1:16" ht="12.75">
      <c r="A130" s="4" t="s">
        <v>206</v>
      </c>
      <c r="B130" s="6"/>
      <c r="C130" s="7" t="s">
        <v>5</v>
      </c>
      <c r="D130" s="7" t="s">
        <v>6</v>
      </c>
      <c r="E130" s="7" t="s">
        <v>7</v>
      </c>
      <c r="F130" s="6"/>
      <c r="G130" s="7" t="s">
        <v>8</v>
      </c>
      <c r="H130" s="7" t="s">
        <v>9</v>
      </c>
      <c r="I130" s="7" t="s">
        <v>10</v>
      </c>
      <c r="J130" s="7" t="s">
        <v>11</v>
      </c>
      <c r="K130" s="6"/>
      <c r="L130" s="8" t="s">
        <v>12</v>
      </c>
      <c r="M130" s="6"/>
      <c r="N130" s="8" t="s">
        <v>13</v>
      </c>
      <c r="O130" s="6"/>
      <c r="P130" s="8" t="s">
        <v>14</v>
      </c>
    </row>
    <row r="131" spans="2:16" ht="12" customHeight="1">
      <c r="B131" s="9" t="s">
        <v>207</v>
      </c>
      <c r="C131" s="3">
        <f aca="true" t="shared" si="9" ref="C131:C143">D131+E131</f>
        <v>519</v>
      </c>
      <c r="D131" s="3">
        <v>296</v>
      </c>
      <c r="E131" s="3">
        <v>223</v>
      </c>
      <c r="G131" s="3">
        <v>3</v>
      </c>
      <c r="H131" s="3">
        <v>17</v>
      </c>
      <c r="I131" s="3">
        <v>12</v>
      </c>
      <c r="J131" s="3">
        <v>10</v>
      </c>
      <c r="L131" s="3">
        <f aca="true" t="shared" si="10" ref="L131:L141">(C131-N131)</f>
        <v>372</v>
      </c>
      <c r="N131" s="3">
        <f>78+69</f>
        <v>147</v>
      </c>
      <c r="P131" s="3">
        <f>23+28</f>
        <v>51</v>
      </c>
    </row>
    <row r="132" spans="2:16" ht="12" customHeight="1">
      <c r="B132" s="9" t="s">
        <v>208</v>
      </c>
      <c r="C132" s="3">
        <f t="shared" si="9"/>
        <v>11</v>
      </c>
      <c r="D132" s="3">
        <v>8</v>
      </c>
      <c r="E132" s="3">
        <v>3</v>
      </c>
      <c r="L132" s="3">
        <f t="shared" si="10"/>
        <v>1</v>
      </c>
      <c r="N132" s="3">
        <v>10</v>
      </c>
      <c r="P132" s="3">
        <v>4</v>
      </c>
    </row>
    <row r="133" spans="2:12" ht="12" customHeight="1">
      <c r="B133" s="9" t="s">
        <v>209</v>
      </c>
      <c r="C133" s="3">
        <f t="shared" si="9"/>
        <v>1</v>
      </c>
      <c r="D133" s="3">
        <v>1</v>
      </c>
      <c r="E133" s="3">
        <v>0</v>
      </c>
      <c r="H133" s="3">
        <v>1</v>
      </c>
      <c r="L133" s="3">
        <f t="shared" si="10"/>
        <v>1</v>
      </c>
    </row>
    <row r="134" spans="2:16" ht="12.75">
      <c r="B134" s="9" t="s">
        <v>210</v>
      </c>
      <c r="C134" s="3">
        <f t="shared" si="9"/>
        <v>13</v>
      </c>
      <c r="D134" s="3">
        <v>8</v>
      </c>
      <c r="E134" s="3">
        <v>5</v>
      </c>
      <c r="I134" s="3">
        <v>1</v>
      </c>
      <c r="L134" s="3">
        <f t="shared" si="10"/>
        <v>1</v>
      </c>
      <c r="N134" s="3">
        <v>12</v>
      </c>
      <c r="P134" s="3">
        <v>6</v>
      </c>
    </row>
    <row r="135" spans="2:16" ht="12.75">
      <c r="B135" s="9" t="s">
        <v>211</v>
      </c>
      <c r="C135" s="3">
        <f t="shared" si="9"/>
        <v>5</v>
      </c>
      <c r="D135" s="3">
        <v>1</v>
      </c>
      <c r="E135" s="3">
        <v>4</v>
      </c>
      <c r="H135" s="3">
        <v>1</v>
      </c>
      <c r="J135" s="3">
        <v>1</v>
      </c>
      <c r="L135" s="3">
        <f t="shared" si="10"/>
        <v>1</v>
      </c>
      <c r="N135" s="3">
        <v>4</v>
      </c>
      <c r="P135" s="3">
        <v>2</v>
      </c>
    </row>
    <row r="136" spans="2:16" ht="12" customHeight="1">
      <c r="B136" s="9" t="s">
        <v>212</v>
      </c>
      <c r="C136" s="3">
        <f t="shared" si="9"/>
        <v>18</v>
      </c>
      <c r="D136" s="3">
        <v>2</v>
      </c>
      <c r="E136" s="3">
        <v>16</v>
      </c>
      <c r="L136" s="3">
        <f t="shared" si="10"/>
        <v>12</v>
      </c>
      <c r="N136" s="3">
        <v>6</v>
      </c>
      <c r="P136" s="3">
        <v>6</v>
      </c>
    </row>
    <row r="137" spans="2:14" ht="12" customHeight="1">
      <c r="B137" s="9" t="s">
        <v>221</v>
      </c>
      <c r="C137" s="3">
        <f>D137+E137</f>
        <v>2</v>
      </c>
      <c r="D137" s="3">
        <v>2</v>
      </c>
      <c r="E137" s="3">
        <v>0</v>
      </c>
      <c r="L137" s="3">
        <f>(C137-N137)</f>
        <v>1</v>
      </c>
      <c r="N137" s="3">
        <v>1</v>
      </c>
    </row>
    <row r="138" spans="2:16" ht="12" customHeight="1">
      <c r="B138" s="9" t="s">
        <v>213</v>
      </c>
      <c r="C138" s="3">
        <f t="shared" si="9"/>
        <v>35</v>
      </c>
      <c r="D138" s="3">
        <v>11</v>
      </c>
      <c r="E138" s="3">
        <v>24</v>
      </c>
      <c r="H138" s="3">
        <v>1</v>
      </c>
      <c r="I138" s="3">
        <v>1</v>
      </c>
      <c r="J138" s="3">
        <v>2</v>
      </c>
      <c r="L138" s="3">
        <f t="shared" si="10"/>
        <v>25</v>
      </c>
      <c r="N138" s="3">
        <v>10</v>
      </c>
      <c r="P138" s="3">
        <v>5</v>
      </c>
    </row>
    <row r="139" spans="2:16" ht="12" customHeight="1">
      <c r="B139" s="9" t="s">
        <v>214</v>
      </c>
      <c r="C139" s="3">
        <f t="shared" si="9"/>
        <v>11</v>
      </c>
      <c r="D139" s="3">
        <v>6</v>
      </c>
      <c r="E139" s="3">
        <v>5</v>
      </c>
      <c r="L139" s="3">
        <f t="shared" si="10"/>
        <v>0</v>
      </c>
      <c r="N139" s="3">
        <v>11</v>
      </c>
      <c r="P139" s="3">
        <v>11</v>
      </c>
    </row>
    <row r="140" spans="2:16" ht="12" customHeight="1">
      <c r="B140" s="9" t="s">
        <v>215</v>
      </c>
      <c r="C140" s="3">
        <f t="shared" si="9"/>
        <v>16</v>
      </c>
      <c r="D140" s="3">
        <v>8</v>
      </c>
      <c r="E140" s="3">
        <v>8</v>
      </c>
      <c r="I140" s="3">
        <v>1</v>
      </c>
      <c r="L140" s="3">
        <f t="shared" si="10"/>
        <v>4</v>
      </c>
      <c r="N140" s="3">
        <v>12</v>
      </c>
      <c r="P140" s="3">
        <v>11</v>
      </c>
    </row>
    <row r="141" spans="2:16" ht="12" customHeight="1">
      <c r="B141" s="9" t="s">
        <v>216</v>
      </c>
      <c r="C141" s="3">
        <f t="shared" si="9"/>
        <v>3</v>
      </c>
      <c r="D141" s="3">
        <v>1</v>
      </c>
      <c r="E141" s="3">
        <v>2</v>
      </c>
      <c r="L141" s="3">
        <f t="shared" si="10"/>
        <v>2</v>
      </c>
      <c r="N141" s="3">
        <v>1</v>
      </c>
      <c r="P141" s="3">
        <v>1</v>
      </c>
    </row>
    <row r="142" spans="2:16" ht="12" customHeight="1">
      <c r="B142" s="9" t="s">
        <v>222</v>
      </c>
      <c r="C142" s="3">
        <f t="shared" si="9"/>
        <v>7</v>
      </c>
      <c r="D142" s="3">
        <v>3</v>
      </c>
      <c r="E142" s="3">
        <v>4</v>
      </c>
      <c r="L142" s="3">
        <f>(C142-N142)</f>
        <v>2</v>
      </c>
      <c r="N142" s="3">
        <v>5</v>
      </c>
      <c r="P142" s="3">
        <v>2</v>
      </c>
    </row>
    <row r="143" spans="2:12" ht="12" customHeight="1">
      <c r="B143" s="9" t="s">
        <v>231</v>
      </c>
      <c r="C143" s="3">
        <f t="shared" si="9"/>
        <v>2</v>
      </c>
      <c r="D143" s="3">
        <v>1</v>
      </c>
      <c r="E143" s="3">
        <v>1</v>
      </c>
      <c r="L143" s="3">
        <f>(C143-N143)</f>
        <v>2</v>
      </c>
    </row>
    <row r="145" spans="1:16" ht="12.75">
      <c r="A145" s="9" t="s">
        <v>5</v>
      </c>
      <c r="C145" s="3">
        <f>SUM(C131:C143)</f>
        <v>643</v>
      </c>
      <c r="D145" s="3">
        <f aca="true" t="shared" si="11" ref="D145:P145">SUM(D131:D143)</f>
        <v>348</v>
      </c>
      <c r="E145" s="3">
        <f t="shared" si="11"/>
        <v>295</v>
      </c>
      <c r="F145" s="3">
        <f t="shared" si="11"/>
        <v>0</v>
      </c>
      <c r="G145" s="3">
        <f t="shared" si="11"/>
        <v>3</v>
      </c>
      <c r="H145" s="3">
        <f t="shared" si="11"/>
        <v>20</v>
      </c>
      <c r="I145" s="3">
        <f t="shared" si="11"/>
        <v>15</v>
      </c>
      <c r="J145" s="3">
        <f t="shared" si="11"/>
        <v>13</v>
      </c>
      <c r="L145" s="3">
        <f t="shared" si="11"/>
        <v>424</v>
      </c>
      <c r="N145" s="3">
        <f t="shared" si="11"/>
        <v>219</v>
      </c>
      <c r="O145" s="3">
        <f t="shared" si="11"/>
        <v>0</v>
      </c>
      <c r="P145" s="3">
        <f t="shared" si="11"/>
        <v>99</v>
      </c>
    </row>
    <row r="146" ht="12.75">
      <c r="H146" s="6"/>
    </row>
    <row r="147" ht="12.75">
      <c r="H147" s="6"/>
    </row>
    <row r="148" ht="12.75">
      <c r="H148" s="6"/>
    </row>
    <row r="149" spans="8:16" ht="12.75">
      <c r="H149" s="4" t="s">
        <v>1</v>
      </c>
      <c r="N149" s="5" t="s">
        <v>2</v>
      </c>
      <c r="P149" s="5" t="s">
        <v>3</v>
      </c>
    </row>
    <row r="150" spans="3:16" ht="12.75">
      <c r="C150" s="7" t="s">
        <v>5</v>
      </c>
      <c r="D150" s="7" t="s">
        <v>6</v>
      </c>
      <c r="E150" s="7" t="s">
        <v>7</v>
      </c>
      <c r="F150" s="6"/>
      <c r="G150" s="7" t="s">
        <v>8</v>
      </c>
      <c r="H150" s="7" t="s">
        <v>9</v>
      </c>
      <c r="I150" s="7" t="s">
        <v>10</v>
      </c>
      <c r="J150" s="7" t="s">
        <v>11</v>
      </c>
      <c r="K150" s="6"/>
      <c r="L150" s="8" t="s">
        <v>12</v>
      </c>
      <c r="M150" s="6"/>
      <c r="N150" s="8" t="s">
        <v>13</v>
      </c>
      <c r="O150" s="6"/>
      <c r="P150" s="8" t="s">
        <v>14</v>
      </c>
    </row>
    <row r="152" spans="1:16" ht="12.75">
      <c r="A152" s="9" t="s">
        <v>217</v>
      </c>
      <c r="C152" s="3">
        <f>C24+C34+C45+C56+C73+C87+C112+C125+C145</f>
        <v>4499</v>
      </c>
      <c r="D152" s="3">
        <f>D24+D34+D45+D56+D73+D87+D112+D125+D145</f>
        <v>2683</v>
      </c>
      <c r="E152" s="3">
        <f>E24+E34+E45+E56+E73+E87+E112+E125+E145</f>
        <v>1816</v>
      </c>
      <c r="G152" s="3">
        <f>G24+G34+G45+G56+G73+G87+G112+G125+G145</f>
        <v>9</v>
      </c>
      <c r="H152" s="3">
        <f>H24+H34+H45+H56+H73+H87+H112+H125+H145</f>
        <v>106</v>
      </c>
      <c r="I152" s="3">
        <f>I24+I34+I45+I56+I73+I87+I112+I125+I145</f>
        <v>74</v>
      </c>
      <c r="J152" s="3">
        <f>J24+J34+J45+J56+J73+J87+J112+J125+J145</f>
        <v>62</v>
      </c>
      <c r="L152" s="3">
        <f>L24+L34+L45+L56+L73+L87+L112+L125+L145</f>
        <v>2087</v>
      </c>
      <c r="N152" s="3">
        <f>N24+N34+N45+N56+N73+N87+N112+N125+N145</f>
        <v>2412</v>
      </c>
      <c r="O152" s="3" t="s">
        <v>218</v>
      </c>
      <c r="P152" s="3">
        <f>P24+P34+P45+P56+P73+P87+P112+P125+P145</f>
        <v>1524</v>
      </c>
    </row>
    <row r="159" ht="12.75">
      <c r="A159" s="9" t="s">
        <v>219</v>
      </c>
    </row>
    <row r="160" ht="12.75">
      <c r="B160" s="9" t="s">
        <v>158</v>
      </c>
    </row>
    <row r="161" ht="12.75">
      <c r="B161" s="9" t="s">
        <v>159</v>
      </c>
    </row>
    <row r="162" ht="12.75">
      <c r="B162" s="9" t="s">
        <v>160</v>
      </c>
    </row>
    <row r="163" ht="12.75">
      <c r="B163" s="9" t="s">
        <v>161</v>
      </c>
    </row>
    <row r="165" ht="12.75">
      <c r="A165" s="9" t="s">
        <v>162</v>
      </c>
    </row>
    <row r="169" ht="12.75">
      <c r="A169" s="9"/>
    </row>
    <row r="170" ht="12.75">
      <c r="A170" s="9"/>
    </row>
  </sheetData>
  <mergeCells count="2">
    <mergeCell ref="A58:Q58"/>
    <mergeCell ref="A114:Q114"/>
  </mergeCells>
  <printOptions horizontalCentered="1"/>
  <pageMargins left="0.5" right="0.5" top="0.75" bottom="0.5" header="0.5" footer="0.5"/>
  <pageSetup fitToHeight="0" horizontalDpi="300" verticalDpi="300" orientation="portrait" scale="95" r:id="rId1"/>
  <rowBreaks count="2" manualBreakCount="2">
    <brk id="57" max="16" man="1"/>
    <brk id="113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Iowa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H02676</dc:creator>
  <cp:keywords/>
  <dc:description/>
  <cp:lastModifiedBy>Microsoft Office</cp:lastModifiedBy>
  <cp:lastPrinted>2002-09-11T13:56:56Z</cp:lastPrinted>
  <dcterms:created xsi:type="dcterms:W3CDTF">1999-09-01T19:18:26Z</dcterms:created>
  <dcterms:modified xsi:type="dcterms:W3CDTF">2002-09-13T21:29:25Z</dcterms:modified>
  <cp:category/>
  <cp:version/>
  <cp:contentType/>
  <cp:contentStatus/>
</cp:coreProperties>
</file>