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1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'Grads'!$A$1:$Q$168</definedName>
    <definedName name="_xlnm.Print_Area" localSheetId="0">'UGs'!$A$1:$Q$212</definedName>
    <definedName name="_xlnm.Print_Area" localSheetId="1">'Vet Med'!$A$1:$Q$46</definedName>
  </definedNames>
  <calcPr fullCalcOnLoad="1"/>
</workbook>
</file>

<file path=xl/sharedStrings.xml><?xml version="1.0" encoding="utf-8"?>
<sst xmlns="http://schemas.openxmlformats.org/spreadsheetml/2006/main" count="509" uniqueCount="235">
  <si>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</si>
  <si>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</si>
  <si>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</si>
  <si>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</si>
  <si>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</si>
  <si>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</si>
  <si>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</si>
  <si>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</si>
  <si>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</si>
  <si>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</si>
  <si>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</si>
  <si>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</si>
  <si>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</si>
  <si>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</si>
  <si>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Agriculture - Special</t>
  </si>
  <si>
    <t>Agricultural Biochemistry</t>
  </si>
  <si>
    <t>Agricultural Business</t>
  </si>
  <si>
    <t>Agricultural Education</t>
  </si>
  <si>
    <t>Agricultural Studies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</si>
  <si>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</si>
  <si>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</si>
  <si>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</si>
  <si>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</si>
  <si>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</si>
  <si>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</si>
  <si>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Entomology</t>
  </si>
  <si>
    <t>Forestry</t>
  </si>
  <si>
    <t>General Preveterinary Medicine</t>
  </si>
  <si>
    <t>Genetics (See also LAS)</t>
  </si>
  <si>
    <t>Horticulture</t>
  </si>
  <si>
    <t>Microbiology</t>
  </si>
  <si>
    <t>Plant Health &amp; Protection</t>
  </si>
  <si>
    <t>Professional Agriculture</t>
  </si>
  <si>
    <t>Zoology (See also LAS)</t>
  </si>
  <si>
    <t>College of Business</t>
  </si>
  <si>
    <t>Business - Special</t>
  </si>
  <si>
    <t>Business - Undeclared</t>
  </si>
  <si>
    <t>Accounting</t>
  </si>
  <si>
    <t>Finance</t>
  </si>
  <si>
    <t>Management</t>
  </si>
  <si>
    <t>Marketing</t>
  </si>
  <si>
    <t>Pre-Business</t>
  </si>
  <si>
    <t>College of Design</t>
  </si>
  <si>
    <t>Design - Special</t>
  </si>
  <si>
    <t>Design - Undeclared</t>
  </si>
  <si>
    <t>Art &amp; Design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</si>
  <si>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</si>
  <si>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</si>
  <si>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</si>
  <si>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</si>
  <si>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</si>
  <si>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</si>
  <si>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Community Health Education</t>
  </si>
  <si>
    <t>Elementary Education</t>
  </si>
  <si>
    <t>Industrial Technology</t>
  </si>
  <si>
    <t>College of Engineering</t>
  </si>
  <si>
    <t>Engineering - Special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</si>
  <si>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</si>
  <si>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</si>
  <si>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</si>
  <si>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</si>
  <si>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</si>
  <si>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</si>
  <si>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</si>
  <si>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Engineering Science</t>
  </si>
  <si>
    <t>Industrial Engineering</t>
  </si>
  <si>
    <t>Mechanical Engineering</t>
  </si>
  <si>
    <t>Family &amp; Consumer Sciences</t>
  </si>
  <si>
    <t>Family &amp; Consumer Sciences Education</t>
  </si>
  <si>
    <t>Food Science (See also AG)</t>
  </si>
  <si>
    <t>Housing and the Near Environment</t>
  </si>
  <si>
    <t>Human Development &amp; Family Studies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</si>
  <si>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</si>
  <si>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</si>
  <si>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</si>
  <si>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</si>
  <si>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</si>
  <si>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</si>
  <si>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 xml:space="preserve">Computer Science </t>
  </si>
  <si>
    <t>Earth Science</t>
  </si>
  <si>
    <t>English</t>
  </si>
  <si>
    <t>French</t>
  </si>
  <si>
    <t>Genetics (See also AG)</t>
  </si>
  <si>
    <t>Geology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</si>
  <si>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</si>
  <si>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</si>
  <si>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</si>
  <si>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</si>
  <si>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</si>
  <si>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</si>
  <si>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</si>
  <si>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</si>
  <si>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</si>
  <si>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</si>
  <si>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</si>
  <si>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</si>
  <si>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</si>
  <si>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</si>
  <si>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</si>
  <si>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</si>
  <si>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Preparation for Law</t>
  </si>
  <si>
    <t>Psychology</t>
  </si>
  <si>
    <t>Religious Studies</t>
  </si>
  <si>
    <t>Russian</t>
  </si>
  <si>
    <t>Spanish</t>
  </si>
  <si>
    <t>Speech Communication</t>
  </si>
  <si>
    <t>Statistics</t>
  </si>
  <si>
    <t>Women's Studies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</si>
  <si>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</si>
  <si>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</si>
  <si>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</si>
  <si>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</si>
  <si>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</si>
  <si>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</si>
  <si>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</si>
  <si>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</si>
  <si>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</si>
  <si>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</si>
  <si>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Applied Physics</t>
  </si>
  <si>
    <t>Engineering - Undeclared</t>
  </si>
  <si>
    <t>Materials Engineering</t>
  </si>
  <si>
    <t>Communications Studies</t>
  </si>
  <si>
    <t>Russian Studies</t>
  </si>
  <si>
    <t>Pre-Computer Science</t>
  </si>
  <si>
    <t>Technical Communication</t>
  </si>
  <si>
    <t>GRADUATES</t>
  </si>
  <si>
    <t>Agricultural Education &amp; Studies</t>
  </si>
  <si>
    <t>Biochemistry, Biophysics &amp; Molecular Biology</t>
  </si>
  <si>
    <t>Botany (See also LAS)</t>
  </si>
  <si>
    <t>Economics (See also LAS)</t>
  </si>
  <si>
    <t>Plant Pathology</t>
  </si>
  <si>
    <t>Sociology (See also LAS)</t>
  </si>
  <si>
    <t>Zoology &amp; Genetics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</si>
  <si>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</si>
  <si>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</si>
  <si>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</si>
  <si>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</si>
  <si>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</si>
  <si>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Agricultural &amp; Biosystems Engineering</t>
  </si>
  <si>
    <t>Electrical &amp; Computer Engineering</t>
  </si>
  <si>
    <t>Ind. &amp; Manufacturing Systems Engineering</t>
  </si>
  <si>
    <t>Materials Science &amp; Engineering</t>
  </si>
  <si>
    <t>Systems Engineering</t>
  </si>
  <si>
    <t>Food Sci. &amp; Human Nutr. (See also Ag)</t>
  </si>
  <si>
    <t>Biochemistry, Biophysics, &amp; Molecular Biology</t>
  </si>
  <si>
    <t>Botany (See also Ag College)</t>
  </si>
  <si>
    <t>Economics (See also Ag College)</t>
  </si>
  <si>
    <t>Geological &amp; Atmospheric Sciences</t>
  </si>
  <si>
    <t>Physics &amp; Astronomy</t>
  </si>
  <si>
    <t>Sociology (See also Ag.)</t>
  </si>
  <si>
    <t>Zoology &amp; Genetics (See also Ag)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</si>
  <si>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</si>
  <si>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</si>
  <si>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</si>
  <si>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</si>
  <si>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</si>
  <si>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</si>
  <si>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</si>
  <si>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</si>
  <si>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</si>
  <si>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Biomedical Engineering</t>
  </si>
  <si>
    <t>Genetics - Interdisciplinary</t>
  </si>
  <si>
    <t>Immunobiology</t>
  </si>
  <si>
    <t>Industrial Relations</t>
  </si>
  <si>
    <t>Interdisciplinary Graduate Studies</t>
  </si>
  <si>
    <t>Molecular, Cellular &amp; Dev. Biology</t>
  </si>
  <si>
    <t>Neurosciences</t>
  </si>
  <si>
    <t>Plant Physiology</t>
  </si>
  <si>
    <t>TOTAL GRADUATES</t>
  </si>
  <si>
    <t>*Includes U.S. Citizens, Immigrants, Refugees, and Asylees only.</t>
  </si>
  <si>
    <t>Log, Operations, &amp; Mgmt Info Systems</t>
  </si>
  <si>
    <t>Information Assurance</t>
  </si>
  <si>
    <t>Sustainable Agriculture</t>
  </si>
  <si>
    <t>Apparel, Educ Studies &amp; Hospitality Mgmt.*</t>
  </si>
  <si>
    <t>Family &amp; Consumer Sci. Educ. &amp; Studies*</t>
  </si>
  <si>
    <t>Textiles and Clothing*</t>
  </si>
  <si>
    <t>* FCEDS, T C, and HRI are currently being administered by AESHM but are listed separately for this report.</t>
  </si>
  <si>
    <t>Toxicology</t>
  </si>
  <si>
    <t>VETERINARY MEDICINE</t>
  </si>
  <si>
    <t>Ecology, Evolution and Organismal Biology</t>
  </si>
  <si>
    <t>Genetics, Development and Cell Biology</t>
  </si>
  <si>
    <t>Natural Resource Ecology &amp; Mgmt</t>
  </si>
  <si>
    <t>Genetics, Development &amp; Cell Biology</t>
  </si>
  <si>
    <t>Undeclared Distance Learning</t>
  </si>
  <si>
    <t>Human Computer Interaction</t>
  </si>
  <si>
    <t>Foodservice &amp; Lodging Management</t>
  </si>
  <si>
    <t>Iowa State University</t>
  </si>
  <si>
    <t>Open Option - LAS</t>
  </si>
  <si>
    <t>FALL SEMESTER 2005 ENROLLMENT</t>
  </si>
  <si>
    <t xml:space="preserve">FALL SEMESTER 2005 ENROLLMENT </t>
  </si>
  <si>
    <t>Agriculture-Undeclared</t>
  </si>
  <si>
    <t>Agricultural Systems Tech.</t>
  </si>
  <si>
    <t>Biology (See also LAS)</t>
  </si>
  <si>
    <t>Dietetics (See also H SCI)</t>
  </si>
  <si>
    <t>Environmental Science (Agriculture)</t>
  </si>
  <si>
    <t>Food Science (see also H SCI)</t>
  </si>
  <si>
    <t>Nutritional Science (See also H SCI)</t>
  </si>
  <si>
    <t>Public Serv. &amp; Admin. in Ag.</t>
  </si>
  <si>
    <t>Logistics and Supply Chain Management</t>
  </si>
  <si>
    <t>Management Info. Systems</t>
  </si>
  <si>
    <t>Operations and Supply Chain Management</t>
  </si>
  <si>
    <t>Architecture-Profess. Degree</t>
  </si>
  <si>
    <t>Art &amp; Design-B.A.</t>
  </si>
  <si>
    <t>Art &amp; Design-B.F.A.</t>
  </si>
  <si>
    <t>Community &amp; Regional Plan.</t>
  </si>
  <si>
    <t>College of Agriculture</t>
  </si>
  <si>
    <t>Human Sciences - Special</t>
  </si>
  <si>
    <t>Human Sciences</t>
  </si>
  <si>
    <t xml:space="preserve">Child, Adult &amp; Family Services </t>
  </si>
  <si>
    <t>Dietetics  (See also AG)</t>
  </si>
  <si>
    <t xml:space="preserve">Early Childhood Education </t>
  </si>
  <si>
    <t>Exercise and Sport Science</t>
  </si>
  <si>
    <t>Family Finance, Housing &amp; Policy</t>
  </si>
  <si>
    <t>Nutritional Sciences (See also AG)</t>
  </si>
  <si>
    <t>College of Human Sciences</t>
  </si>
  <si>
    <t>Apparel Merchandising
     Design and Production</t>
  </si>
  <si>
    <t>Family Resource Management
     and Consumer Sciences</t>
  </si>
  <si>
    <t>Studies in Family 
     and Consumer Sciences</t>
  </si>
  <si>
    <t>Intensive Engl. &amp; Orientation</t>
  </si>
  <si>
    <t>Lib. Arts &amp; Sciences-Special</t>
  </si>
  <si>
    <t>Biological/Pre-Med. Illustr.</t>
  </si>
  <si>
    <t>Biology (See also AG)</t>
  </si>
  <si>
    <t>Botany (see also AG)</t>
  </si>
  <si>
    <t>Computer Science</t>
  </si>
  <si>
    <t>Economics (See also AG)</t>
  </si>
  <si>
    <t>Environmental Science (LAS)</t>
  </si>
  <si>
    <t>Journalism &amp; Mass Comm.</t>
  </si>
  <si>
    <t>Pre-Journalism &amp; Mass Comm.</t>
  </si>
  <si>
    <t>Prep. for Human Medicine</t>
  </si>
  <si>
    <t>Preprofess. Health Programs</t>
  </si>
  <si>
    <t>Sociology (See also AG)</t>
  </si>
  <si>
    <t>Zoology  (See also AG)</t>
  </si>
  <si>
    <t>Hotel, Restaurant and
     Institution Management</t>
  </si>
  <si>
    <t>Food Sci. &amp; Human Nutr. (See also H SCI)</t>
  </si>
  <si>
    <t>Civil, Construction and Environmental Engr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</si>
</sst>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0.00_);[Red]\(0.00\)"/>
  </numFmts>
  <fonts count="9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11"/>
  <sheetViews>
    <sheetView showGridLines="0" zoomScale="125" zoomScaleNormal="125" zoomScaleSheetLayoutView="100" workbookViewId="0" topLeftCell="A295">
      <selection activeCell="J2" sqref="J2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8" width="9.7109375" style="3" customWidth="1"/>
    <col min="19" max="16384" width="9.7109375" style="3" customWidth="1"/>
  </cols>
  <sheetData>
    <row r="1" spans="1:17" ht="15.75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6" ht="15.75">
      <c r="A3" s="20" t="s">
        <v>186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8:16" ht="12.75">
      <c r="H6" s="4" t="s">
        <v>1</v>
      </c>
      <c r="N6" s="5" t="s">
        <v>2</v>
      </c>
      <c r="P6" s="5" t="s">
        <v>3</v>
      </c>
    </row>
    <row r="7" spans="1:16" ht="12.75">
      <c r="A7" s="4" t="s">
        <v>205</v>
      </c>
      <c r="B7" s="6"/>
      <c r="C7" s="7" t="s">
        <v>4</v>
      </c>
      <c r="D7" s="7" t="s">
        <v>5</v>
      </c>
      <c r="E7" s="7" t="s">
        <v>6</v>
      </c>
      <c r="F7" s="6"/>
      <c r="G7" s="7" t="s">
        <v>7</v>
      </c>
      <c r="H7" s="7" t="s">
        <v>8</v>
      </c>
      <c r="I7" s="7" t="s">
        <v>9</v>
      </c>
      <c r="J7" s="7" t="s">
        <v>10</v>
      </c>
      <c r="K7" s="6"/>
      <c r="L7" s="8" t="s">
        <v>11</v>
      </c>
      <c r="M7" s="6"/>
      <c r="N7" s="8" t="s">
        <v>12</v>
      </c>
      <c r="O7" s="6"/>
      <c r="P7" s="8" t="s">
        <v>13</v>
      </c>
    </row>
    <row r="8" spans="2:16" ht="12" customHeight="1">
      <c r="B8" s="14" t="s">
        <v>14</v>
      </c>
      <c r="C8" s="3">
        <f aca="true" t="shared" si="0" ref="C8:C36">D8+E8</f>
        <v>28</v>
      </c>
      <c r="D8" s="3">
        <v>11</v>
      </c>
      <c r="E8" s="3">
        <v>17</v>
      </c>
      <c r="H8" s="3">
        <v>1</v>
      </c>
      <c r="L8" s="3">
        <f aca="true" t="shared" si="1" ref="L8:L36">(C8-N8)</f>
        <v>12</v>
      </c>
      <c r="N8" s="3">
        <v>16</v>
      </c>
      <c r="P8" s="3">
        <v>4</v>
      </c>
    </row>
    <row r="9" spans="2:14" ht="12" customHeight="1">
      <c r="B9" s="14" t="s">
        <v>190</v>
      </c>
      <c r="C9" s="3">
        <f t="shared" si="0"/>
        <v>35</v>
      </c>
      <c r="D9" s="3">
        <v>23</v>
      </c>
      <c r="E9" s="3">
        <v>12</v>
      </c>
      <c r="H9" s="3">
        <v>1</v>
      </c>
      <c r="L9" s="3">
        <f t="shared" si="1"/>
        <v>32</v>
      </c>
      <c r="N9" s="3">
        <v>3</v>
      </c>
    </row>
    <row r="10" spans="2:14" ht="12" customHeight="1">
      <c r="B10" s="14" t="s">
        <v>15</v>
      </c>
      <c r="C10" s="3">
        <f t="shared" si="0"/>
        <v>22</v>
      </c>
      <c r="D10" s="3">
        <v>10</v>
      </c>
      <c r="E10" s="3">
        <v>12</v>
      </c>
      <c r="I10" s="3">
        <v>1</v>
      </c>
      <c r="J10" s="3">
        <v>2</v>
      </c>
      <c r="L10" s="3">
        <f t="shared" si="1"/>
        <v>16</v>
      </c>
      <c r="N10" s="3">
        <v>6</v>
      </c>
    </row>
    <row r="11" spans="2:16" ht="12" customHeight="1">
      <c r="B11" s="14" t="s">
        <v>16</v>
      </c>
      <c r="C11" s="3">
        <f aca="true" t="shared" si="2" ref="C11:C25">D11+E11</f>
        <v>224</v>
      </c>
      <c r="D11" s="3">
        <v>152</v>
      </c>
      <c r="E11" s="3">
        <v>72</v>
      </c>
      <c r="H11" s="3">
        <v>2</v>
      </c>
      <c r="I11" s="3">
        <v>2</v>
      </c>
      <c r="J11" s="3">
        <v>2</v>
      </c>
      <c r="L11" s="3">
        <f aca="true" t="shared" si="3" ref="L11:L25">(C11-N11)</f>
        <v>205</v>
      </c>
      <c r="N11" s="3">
        <v>19</v>
      </c>
      <c r="P11" s="3">
        <v>2</v>
      </c>
    </row>
    <row r="12" spans="2:14" ht="12" customHeight="1">
      <c r="B12" s="14" t="s">
        <v>17</v>
      </c>
      <c r="C12" s="3">
        <f t="shared" si="2"/>
        <v>73</v>
      </c>
      <c r="D12" s="3">
        <v>26</v>
      </c>
      <c r="E12" s="3">
        <v>47</v>
      </c>
      <c r="H12" s="3">
        <v>1</v>
      </c>
      <c r="I12" s="3">
        <v>1</v>
      </c>
      <c r="J12" s="3">
        <v>1</v>
      </c>
      <c r="L12" s="3">
        <f t="shared" si="3"/>
        <v>68</v>
      </c>
      <c r="N12" s="3">
        <v>5</v>
      </c>
    </row>
    <row r="13" spans="2:14" ht="12" customHeight="1">
      <c r="B13" s="15" t="s">
        <v>18</v>
      </c>
      <c r="C13" s="3">
        <f t="shared" si="2"/>
        <v>195</v>
      </c>
      <c r="D13" s="3">
        <v>164</v>
      </c>
      <c r="E13" s="3">
        <v>31</v>
      </c>
      <c r="L13" s="3">
        <f t="shared" si="3"/>
        <v>191</v>
      </c>
      <c r="N13" s="3">
        <v>4</v>
      </c>
    </row>
    <row r="14" spans="2:16" ht="12" customHeight="1">
      <c r="B14" s="14" t="s">
        <v>191</v>
      </c>
      <c r="C14" s="3">
        <f t="shared" si="2"/>
        <v>124</v>
      </c>
      <c r="D14" s="3">
        <v>121</v>
      </c>
      <c r="E14" s="3">
        <v>3</v>
      </c>
      <c r="H14" s="3">
        <v>2</v>
      </c>
      <c r="L14" s="3">
        <f t="shared" si="3"/>
        <v>115</v>
      </c>
      <c r="N14" s="3">
        <v>9</v>
      </c>
      <c r="P14" s="3">
        <v>1</v>
      </c>
    </row>
    <row r="15" spans="2:16" ht="12" customHeight="1">
      <c r="B15" s="15" t="s">
        <v>19</v>
      </c>
      <c r="C15" s="3">
        <f t="shared" si="2"/>
        <v>106</v>
      </c>
      <c r="D15" s="3">
        <v>87</v>
      </c>
      <c r="E15" s="3">
        <v>19</v>
      </c>
      <c r="H15" s="3">
        <v>1</v>
      </c>
      <c r="I15" s="3">
        <v>2</v>
      </c>
      <c r="L15" s="3">
        <f t="shared" si="3"/>
        <v>95</v>
      </c>
      <c r="N15" s="3">
        <v>11</v>
      </c>
      <c r="P15" s="3">
        <v>1</v>
      </c>
    </row>
    <row r="16" spans="2:14" ht="12" customHeight="1">
      <c r="B16" s="14" t="s">
        <v>20</v>
      </c>
      <c r="C16" s="3">
        <f t="shared" si="2"/>
        <v>258</v>
      </c>
      <c r="D16" s="3">
        <v>142</v>
      </c>
      <c r="E16" s="3">
        <v>116</v>
      </c>
      <c r="G16" s="3">
        <v>1</v>
      </c>
      <c r="H16" s="3">
        <v>3</v>
      </c>
      <c r="I16" s="3">
        <v>1</v>
      </c>
      <c r="J16" s="3">
        <v>6</v>
      </c>
      <c r="L16" s="3">
        <f t="shared" si="3"/>
        <v>223</v>
      </c>
      <c r="N16" s="3">
        <v>35</v>
      </c>
    </row>
    <row r="17" spans="2:16" ht="12" customHeight="1">
      <c r="B17" s="15" t="s">
        <v>21</v>
      </c>
      <c r="C17" s="3">
        <f t="shared" si="2"/>
        <v>383</v>
      </c>
      <c r="D17" s="3">
        <v>139</v>
      </c>
      <c r="E17" s="3">
        <v>244</v>
      </c>
      <c r="H17" s="3">
        <v>4</v>
      </c>
      <c r="I17" s="3">
        <v>4</v>
      </c>
      <c r="J17" s="3">
        <v>12</v>
      </c>
      <c r="L17" s="3">
        <f t="shared" si="3"/>
        <v>308</v>
      </c>
      <c r="N17" s="3">
        <f>25+50</f>
        <v>75</v>
      </c>
      <c r="P17" s="3">
        <v>2</v>
      </c>
    </row>
    <row r="18" spans="2:16" ht="12" customHeight="1">
      <c r="B18" s="14" t="s">
        <v>22</v>
      </c>
      <c r="C18" s="3">
        <f t="shared" si="2"/>
        <v>148</v>
      </c>
      <c r="D18" s="3">
        <v>37</v>
      </c>
      <c r="E18" s="3">
        <v>111</v>
      </c>
      <c r="G18" s="3">
        <v>1</v>
      </c>
      <c r="H18" s="3">
        <v>3</v>
      </c>
      <c r="I18" s="3">
        <v>2</v>
      </c>
      <c r="J18" s="3">
        <v>7</v>
      </c>
      <c r="L18" s="3">
        <f t="shared" si="3"/>
        <v>97</v>
      </c>
      <c r="N18" s="3">
        <f>5+46</f>
        <v>51</v>
      </c>
      <c r="P18" s="3">
        <v>1</v>
      </c>
    </row>
    <row r="19" spans="2:16" ht="12" customHeight="1">
      <c r="B19" s="15" t="s">
        <v>192</v>
      </c>
      <c r="C19" s="3">
        <f t="shared" si="2"/>
        <v>36</v>
      </c>
      <c r="D19" s="3">
        <v>9</v>
      </c>
      <c r="E19" s="3">
        <v>27</v>
      </c>
      <c r="G19" s="3">
        <v>1</v>
      </c>
      <c r="I19" s="3">
        <v>1</v>
      </c>
      <c r="J19" s="3">
        <v>1</v>
      </c>
      <c r="L19" s="3">
        <f t="shared" si="3"/>
        <v>28</v>
      </c>
      <c r="N19" s="3">
        <v>8</v>
      </c>
      <c r="P19" s="3">
        <v>2</v>
      </c>
    </row>
    <row r="20" spans="2:14" ht="12" customHeight="1">
      <c r="B20" s="15" t="s">
        <v>23</v>
      </c>
      <c r="C20" s="3">
        <f t="shared" si="2"/>
        <v>46</v>
      </c>
      <c r="D20" s="3">
        <v>18</v>
      </c>
      <c r="E20" s="3">
        <v>28</v>
      </c>
      <c r="L20" s="3">
        <f t="shared" si="3"/>
        <v>42</v>
      </c>
      <c r="N20" s="3">
        <v>4</v>
      </c>
    </row>
    <row r="21" spans="2:14" ht="12" customHeight="1">
      <c r="B21" s="14" t="s">
        <v>24</v>
      </c>
      <c r="C21" s="3">
        <f t="shared" si="2"/>
        <v>7</v>
      </c>
      <c r="D21" s="3">
        <v>1</v>
      </c>
      <c r="E21" s="3">
        <v>6</v>
      </c>
      <c r="I21" s="3">
        <v>1</v>
      </c>
      <c r="J21" s="3">
        <v>1</v>
      </c>
      <c r="L21" s="3">
        <f t="shared" si="3"/>
        <v>3</v>
      </c>
      <c r="N21" s="3">
        <v>4</v>
      </c>
    </row>
    <row r="22" spans="2:16" ht="12" customHeight="1">
      <c r="B22" s="15" t="s">
        <v>193</v>
      </c>
      <c r="C22" s="3">
        <f t="shared" si="2"/>
        <v>24</v>
      </c>
      <c r="D22" s="3">
        <v>1</v>
      </c>
      <c r="E22" s="3">
        <v>23</v>
      </c>
      <c r="L22" s="3">
        <f t="shared" si="3"/>
        <v>21</v>
      </c>
      <c r="N22" s="3">
        <v>3</v>
      </c>
      <c r="P22" s="3">
        <v>2</v>
      </c>
    </row>
    <row r="23" spans="2:14" ht="12" customHeight="1">
      <c r="B23" s="15" t="s">
        <v>25</v>
      </c>
      <c r="C23" s="3">
        <f t="shared" si="2"/>
        <v>14</v>
      </c>
      <c r="D23" s="3">
        <v>8</v>
      </c>
      <c r="E23" s="3">
        <v>6</v>
      </c>
      <c r="L23" s="3">
        <f t="shared" si="3"/>
        <v>9</v>
      </c>
      <c r="N23" s="3">
        <v>5</v>
      </c>
    </row>
    <row r="24" spans="2:14" ht="12" customHeight="1">
      <c r="B24" s="14" t="s">
        <v>194</v>
      </c>
      <c r="C24" s="3">
        <f t="shared" si="2"/>
        <v>22</v>
      </c>
      <c r="D24" s="3">
        <v>15</v>
      </c>
      <c r="E24" s="3">
        <v>7</v>
      </c>
      <c r="G24" s="3">
        <v>1</v>
      </c>
      <c r="L24" s="3">
        <f t="shared" si="3"/>
        <v>18</v>
      </c>
      <c r="N24" s="3">
        <v>4</v>
      </c>
    </row>
    <row r="25" spans="2:16" ht="12" customHeight="1">
      <c r="B25" s="14" t="s">
        <v>195</v>
      </c>
      <c r="C25" s="3">
        <f t="shared" si="2"/>
        <v>23</v>
      </c>
      <c r="D25" s="3">
        <v>6</v>
      </c>
      <c r="E25" s="3">
        <v>17</v>
      </c>
      <c r="H25" s="3">
        <v>2</v>
      </c>
      <c r="L25" s="3">
        <f t="shared" si="3"/>
        <v>12</v>
      </c>
      <c r="N25" s="3">
        <v>11</v>
      </c>
      <c r="P25" s="3">
        <v>7</v>
      </c>
    </row>
    <row r="26" spans="2:14" ht="12" customHeight="1">
      <c r="B26" s="15" t="s">
        <v>26</v>
      </c>
      <c r="C26" s="3">
        <f t="shared" si="0"/>
        <v>72</v>
      </c>
      <c r="D26" s="3">
        <v>59</v>
      </c>
      <c r="E26" s="3">
        <v>13</v>
      </c>
      <c r="L26" s="3">
        <f t="shared" si="1"/>
        <v>67</v>
      </c>
      <c r="N26" s="3">
        <v>5</v>
      </c>
    </row>
    <row r="27" spans="2:16" ht="12" customHeight="1">
      <c r="B27" s="14" t="s">
        <v>27</v>
      </c>
      <c r="C27" s="3">
        <f t="shared" si="0"/>
        <v>32</v>
      </c>
      <c r="D27" s="3">
        <v>9</v>
      </c>
      <c r="E27" s="3">
        <v>23</v>
      </c>
      <c r="H27" s="3">
        <v>1</v>
      </c>
      <c r="J27" s="3">
        <v>2</v>
      </c>
      <c r="L27" s="3">
        <f t="shared" si="1"/>
        <v>25</v>
      </c>
      <c r="N27" s="3">
        <v>7</v>
      </c>
      <c r="P27" s="3">
        <v>1</v>
      </c>
    </row>
    <row r="28" spans="2:14" ht="12" customHeight="1">
      <c r="B28" s="15" t="s">
        <v>28</v>
      </c>
      <c r="C28" s="3">
        <f t="shared" si="0"/>
        <v>22</v>
      </c>
      <c r="D28" s="3">
        <v>5</v>
      </c>
      <c r="E28" s="3">
        <v>17</v>
      </c>
      <c r="H28" s="3">
        <v>1</v>
      </c>
      <c r="L28" s="3">
        <f t="shared" si="1"/>
        <v>16</v>
      </c>
      <c r="N28" s="3">
        <v>6</v>
      </c>
    </row>
    <row r="29" spans="2:16" ht="12" customHeight="1">
      <c r="B29" s="14" t="s">
        <v>29</v>
      </c>
      <c r="C29" s="3">
        <f t="shared" si="0"/>
        <v>203</v>
      </c>
      <c r="D29" s="3">
        <v>157</v>
      </c>
      <c r="E29" s="3">
        <v>46</v>
      </c>
      <c r="I29" s="3">
        <v>1</v>
      </c>
      <c r="J29" s="3">
        <v>2</v>
      </c>
      <c r="L29" s="3">
        <f t="shared" si="1"/>
        <v>183</v>
      </c>
      <c r="N29" s="3">
        <v>20</v>
      </c>
      <c r="P29" s="3">
        <v>2</v>
      </c>
    </row>
    <row r="30" spans="2:16" ht="12" customHeight="1">
      <c r="B30" s="14" t="s">
        <v>54</v>
      </c>
      <c r="C30" s="3">
        <f t="shared" si="0"/>
        <v>210</v>
      </c>
      <c r="D30" s="3">
        <v>198</v>
      </c>
      <c r="E30" s="3">
        <v>12</v>
      </c>
      <c r="G30" s="3">
        <v>2</v>
      </c>
      <c r="H30" s="3">
        <v>12</v>
      </c>
      <c r="I30" s="3">
        <v>4</v>
      </c>
      <c r="J30" s="3">
        <v>9</v>
      </c>
      <c r="L30" s="3">
        <f t="shared" si="1"/>
        <v>182</v>
      </c>
      <c r="N30" s="3">
        <v>28</v>
      </c>
      <c r="P30" s="3">
        <v>2</v>
      </c>
    </row>
    <row r="31" spans="2:16" ht="12" customHeight="1">
      <c r="B31" s="15" t="s">
        <v>30</v>
      </c>
      <c r="C31" s="3">
        <f t="shared" si="0"/>
        <v>73</v>
      </c>
      <c r="D31" s="3">
        <v>28</v>
      </c>
      <c r="E31" s="3">
        <v>45</v>
      </c>
      <c r="H31" s="3">
        <v>2</v>
      </c>
      <c r="I31" s="3">
        <v>3</v>
      </c>
      <c r="J31" s="3">
        <v>3</v>
      </c>
      <c r="L31" s="3">
        <f t="shared" si="1"/>
        <v>60</v>
      </c>
      <c r="N31" s="3">
        <v>13</v>
      </c>
      <c r="P31" s="3">
        <v>3</v>
      </c>
    </row>
    <row r="32" spans="2:16" ht="12" customHeight="1">
      <c r="B32" s="15" t="s">
        <v>196</v>
      </c>
      <c r="C32" s="3">
        <f t="shared" si="0"/>
        <v>10</v>
      </c>
      <c r="D32" s="3">
        <v>3</v>
      </c>
      <c r="E32" s="3">
        <v>7</v>
      </c>
      <c r="L32" s="3">
        <f t="shared" si="1"/>
        <v>7</v>
      </c>
      <c r="N32" s="3">
        <v>3</v>
      </c>
      <c r="P32" s="3">
        <v>2</v>
      </c>
    </row>
    <row r="33" spans="2:16" ht="12" customHeight="1">
      <c r="B33" s="14" t="s">
        <v>31</v>
      </c>
      <c r="C33" s="3">
        <f t="shared" si="0"/>
        <v>4</v>
      </c>
      <c r="D33" s="3">
        <v>1</v>
      </c>
      <c r="E33" s="3">
        <v>3</v>
      </c>
      <c r="L33" s="3">
        <f t="shared" si="1"/>
        <v>3</v>
      </c>
      <c r="N33" s="3">
        <v>1</v>
      </c>
      <c r="P33" s="3">
        <v>1</v>
      </c>
    </row>
    <row r="34" spans="2:14" ht="12" customHeight="1">
      <c r="B34" s="14" t="s">
        <v>32</v>
      </c>
      <c r="C34" s="3">
        <f t="shared" si="0"/>
        <v>12</v>
      </c>
      <c r="D34" s="3">
        <v>8</v>
      </c>
      <c r="E34" s="3">
        <v>4</v>
      </c>
      <c r="L34" s="3">
        <f t="shared" si="1"/>
        <v>7</v>
      </c>
      <c r="N34" s="3">
        <v>5</v>
      </c>
    </row>
    <row r="35" spans="2:16" ht="12" customHeight="1">
      <c r="B35" s="15" t="s">
        <v>197</v>
      </c>
      <c r="C35" s="3">
        <f t="shared" si="0"/>
        <v>23</v>
      </c>
      <c r="D35" s="3">
        <v>8</v>
      </c>
      <c r="E35" s="3">
        <v>15</v>
      </c>
      <c r="L35" s="3">
        <f t="shared" si="1"/>
        <v>20</v>
      </c>
      <c r="N35" s="3">
        <v>3</v>
      </c>
      <c r="P35" s="3">
        <v>1</v>
      </c>
    </row>
    <row r="36" spans="2:14" ht="12" customHeight="1">
      <c r="B36" s="15" t="s">
        <v>33</v>
      </c>
      <c r="C36" s="3">
        <f t="shared" si="0"/>
        <v>19</v>
      </c>
      <c r="D36" s="3">
        <v>6</v>
      </c>
      <c r="E36" s="3">
        <v>13</v>
      </c>
      <c r="J36" s="3">
        <v>1</v>
      </c>
      <c r="L36" s="3">
        <f t="shared" si="1"/>
        <v>16</v>
      </c>
      <c r="N36" s="3">
        <v>3</v>
      </c>
    </row>
    <row r="38" spans="1:16" ht="12.75">
      <c r="A38" s="9" t="s">
        <v>4</v>
      </c>
      <c r="C38" s="3">
        <f>SUM(C8:C36)</f>
        <v>2448</v>
      </c>
      <c r="D38" s="3">
        <f>SUM(D8:D36)</f>
        <v>1452</v>
      </c>
      <c r="E38" s="3">
        <f>SUM(E8:E36)</f>
        <v>996</v>
      </c>
      <c r="G38" s="3">
        <f>SUM(G8:G36)</f>
        <v>6</v>
      </c>
      <c r="H38" s="3">
        <f>SUM(H8:H36)</f>
        <v>36</v>
      </c>
      <c r="I38" s="3">
        <f>SUM(I8:I36)</f>
        <v>23</v>
      </c>
      <c r="J38" s="3">
        <f>SUM(J8:J36)</f>
        <v>49</v>
      </c>
      <c r="L38" s="3">
        <f>SUM(L8:L36)</f>
        <v>2081</v>
      </c>
      <c r="N38" s="3">
        <f>SUM(N8:N36)</f>
        <v>367</v>
      </c>
      <c r="P38" s="3">
        <f>SUM(P8:P36)</f>
        <v>34</v>
      </c>
    </row>
    <row r="42" ht="12.75">
      <c r="A42" s="16"/>
    </row>
    <row r="44" spans="1:17" ht="12.75">
      <c r="A44" s="2" t="s">
        <v>188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8:16" ht="12.75">
      <c r="H46" s="4" t="s">
        <v>1</v>
      </c>
      <c r="N46" s="5" t="s">
        <v>2</v>
      </c>
      <c r="P46" s="5" t="s">
        <v>3</v>
      </c>
    </row>
    <row r="47" spans="1:16" ht="12.75">
      <c r="A47" s="4" t="s">
        <v>34</v>
      </c>
      <c r="C47" s="7" t="s">
        <v>4</v>
      </c>
      <c r="D47" s="7" t="s">
        <v>5</v>
      </c>
      <c r="E47" s="7" t="s">
        <v>6</v>
      </c>
      <c r="F47" s="6"/>
      <c r="G47" s="7" t="s">
        <v>7</v>
      </c>
      <c r="H47" s="7" t="s">
        <v>8</v>
      </c>
      <c r="I47" s="7" t="s">
        <v>9</v>
      </c>
      <c r="J47" s="7" t="s">
        <v>10</v>
      </c>
      <c r="K47" s="6"/>
      <c r="L47" s="8" t="s">
        <v>11</v>
      </c>
      <c r="M47" s="6"/>
      <c r="N47" s="8" t="s">
        <v>12</v>
      </c>
      <c r="O47" s="6"/>
      <c r="P47" s="8" t="s">
        <v>13</v>
      </c>
    </row>
    <row r="48" spans="2:16" ht="12.75">
      <c r="B48" s="14" t="s">
        <v>35</v>
      </c>
      <c r="C48" s="3">
        <f aca="true" t="shared" si="4" ref="C48:C57">D48+E48</f>
        <v>21</v>
      </c>
      <c r="D48" s="3">
        <v>12</v>
      </c>
      <c r="E48" s="3">
        <v>9</v>
      </c>
      <c r="H48" s="3">
        <v>1</v>
      </c>
      <c r="J48" s="3">
        <v>1</v>
      </c>
      <c r="L48" s="3">
        <f aca="true" t="shared" si="5" ref="L48:L57">(C48-N48)</f>
        <v>8</v>
      </c>
      <c r="N48" s="3">
        <f>5+8</f>
        <v>13</v>
      </c>
      <c r="P48" s="3">
        <v>10</v>
      </c>
    </row>
    <row r="49" spans="2:14" ht="12.75">
      <c r="B49" s="14" t="s">
        <v>36</v>
      </c>
      <c r="C49" s="3">
        <f t="shared" si="4"/>
        <v>48</v>
      </c>
      <c r="D49" s="3">
        <v>34</v>
      </c>
      <c r="E49" s="3">
        <v>14</v>
      </c>
      <c r="G49" s="3">
        <v>1</v>
      </c>
      <c r="H49" s="3">
        <v>2</v>
      </c>
      <c r="I49" s="3">
        <v>2</v>
      </c>
      <c r="L49" s="3">
        <f t="shared" si="5"/>
        <v>41</v>
      </c>
      <c r="N49" s="3">
        <f>6+1</f>
        <v>7</v>
      </c>
    </row>
    <row r="50" spans="2:16" ht="12.75">
      <c r="B50" s="14" t="s">
        <v>37</v>
      </c>
      <c r="C50" s="3">
        <f t="shared" si="4"/>
        <v>314</v>
      </c>
      <c r="D50" s="3">
        <v>149</v>
      </c>
      <c r="E50" s="3">
        <v>165</v>
      </c>
      <c r="H50" s="3">
        <v>7</v>
      </c>
      <c r="I50" s="3">
        <v>9</v>
      </c>
      <c r="J50" s="3">
        <v>8</v>
      </c>
      <c r="L50" s="3">
        <f t="shared" si="5"/>
        <v>267</v>
      </c>
      <c r="N50" s="3">
        <f>23+24</f>
        <v>47</v>
      </c>
      <c r="P50" s="3">
        <v>17</v>
      </c>
    </row>
    <row r="51" spans="2:16" ht="12.75">
      <c r="B51" s="14" t="s">
        <v>38</v>
      </c>
      <c r="C51" s="3">
        <f t="shared" si="4"/>
        <v>391</v>
      </c>
      <c r="D51" s="3">
        <v>284</v>
      </c>
      <c r="E51" s="3">
        <v>107</v>
      </c>
      <c r="G51" s="3">
        <v>1</v>
      </c>
      <c r="H51" s="3">
        <v>8</v>
      </c>
      <c r="I51" s="3">
        <v>24</v>
      </c>
      <c r="J51" s="3">
        <v>4</v>
      </c>
      <c r="L51" s="3">
        <f t="shared" si="5"/>
        <v>322</v>
      </c>
      <c r="N51" s="3">
        <f>53+16</f>
        <v>69</v>
      </c>
      <c r="P51" s="3">
        <v>10</v>
      </c>
    </row>
    <row r="52" spans="2:16" ht="12.75">
      <c r="B52" s="14" t="s">
        <v>198</v>
      </c>
      <c r="C52" s="3">
        <f t="shared" si="4"/>
        <v>69</v>
      </c>
      <c r="D52" s="3">
        <v>45</v>
      </c>
      <c r="E52" s="3">
        <v>24</v>
      </c>
      <c r="H52" s="3">
        <v>2</v>
      </c>
      <c r="J52" s="3">
        <v>2</v>
      </c>
      <c r="L52" s="3">
        <f t="shared" si="5"/>
        <v>57</v>
      </c>
      <c r="N52" s="3">
        <v>12</v>
      </c>
      <c r="P52" s="3">
        <v>1</v>
      </c>
    </row>
    <row r="53" spans="2:16" ht="12.75">
      <c r="B53" s="14" t="s">
        <v>39</v>
      </c>
      <c r="C53" s="3">
        <f t="shared" si="4"/>
        <v>359</v>
      </c>
      <c r="D53" s="3">
        <v>218</v>
      </c>
      <c r="E53" s="3">
        <v>141</v>
      </c>
      <c r="G53" s="3">
        <v>1</v>
      </c>
      <c r="H53" s="3">
        <v>19</v>
      </c>
      <c r="I53" s="3">
        <v>12</v>
      </c>
      <c r="J53" s="3">
        <v>2</v>
      </c>
      <c r="L53" s="3">
        <f t="shared" si="5"/>
        <v>304</v>
      </c>
      <c r="N53" s="3">
        <f>32+23</f>
        <v>55</v>
      </c>
      <c r="P53" s="3">
        <v>6</v>
      </c>
    </row>
    <row r="54" spans="2:16" ht="12.75">
      <c r="B54" s="14" t="s">
        <v>199</v>
      </c>
      <c r="C54" s="3">
        <f t="shared" si="4"/>
        <v>213</v>
      </c>
      <c r="D54" s="3">
        <v>189</v>
      </c>
      <c r="E54" s="3">
        <v>24</v>
      </c>
      <c r="G54" s="3">
        <v>1</v>
      </c>
      <c r="H54" s="3">
        <v>2</v>
      </c>
      <c r="I54" s="3">
        <v>14</v>
      </c>
      <c r="J54" s="3">
        <v>2</v>
      </c>
      <c r="L54" s="3">
        <f t="shared" si="5"/>
        <v>169</v>
      </c>
      <c r="N54" s="3">
        <f>38+6</f>
        <v>44</v>
      </c>
      <c r="P54" s="3">
        <v>13</v>
      </c>
    </row>
    <row r="55" spans="2:16" ht="12.75">
      <c r="B55" s="14" t="s">
        <v>40</v>
      </c>
      <c r="C55" s="3">
        <f t="shared" si="4"/>
        <v>461</v>
      </c>
      <c r="D55" s="3">
        <v>222</v>
      </c>
      <c r="E55" s="3">
        <v>239</v>
      </c>
      <c r="H55" s="3">
        <v>9</v>
      </c>
      <c r="I55" s="3">
        <v>14</v>
      </c>
      <c r="J55" s="3">
        <v>10</v>
      </c>
      <c r="L55" s="3">
        <f t="shared" si="5"/>
        <v>348</v>
      </c>
      <c r="N55" s="3">
        <f>51+62</f>
        <v>113</v>
      </c>
      <c r="P55" s="3">
        <v>11</v>
      </c>
    </row>
    <row r="56" spans="2:16" ht="12.75">
      <c r="B56" s="14" t="s">
        <v>200</v>
      </c>
      <c r="C56" s="3">
        <f t="shared" si="4"/>
        <v>36</v>
      </c>
      <c r="D56" s="3">
        <v>22</v>
      </c>
      <c r="E56" s="3">
        <v>14</v>
      </c>
      <c r="I56" s="3">
        <v>2</v>
      </c>
      <c r="L56" s="3">
        <f t="shared" si="5"/>
        <v>33</v>
      </c>
      <c r="N56" s="3">
        <f>2+1</f>
        <v>3</v>
      </c>
      <c r="P56" s="3">
        <v>1</v>
      </c>
    </row>
    <row r="57" spans="2:16" ht="12.75">
      <c r="B57" s="14" t="s">
        <v>41</v>
      </c>
      <c r="C57" s="3">
        <f t="shared" si="4"/>
        <v>1568</v>
      </c>
      <c r="D57" s="3">
        <v>1044</v>
      </c>
      <c r="E57" s="3">
        <v>524</v>
      </c>
      <c r="G57" s="3">
        <v>10</v>
      </c>
      <c r="H57" s="3">
        <f>54+15</f>
        <v>69</v>
      </c>
      <c r="I57" s="3">
        <f>47+28</f>
        <v>75</v>
      </c>
      <c r="J57" s="3">
        <f>20+15</f>
        <v>35</v>
      </c>
      <c r="L57" s="3">
        <f t="shared" si="5"/>
        <v>1251</v>
      </c>
      <c r="N57" s="3">
        <f>214+103</f>
        <v>317</v>
      </c>
      <c r="P57" s="3">
        <f>30+17</f>
        <v>47</v>
      </c>
    </row>
    <row r="59" spans="1:16" ht="12.75">
      <c r="A59" s="9" t="s">
        <v>4</v>
      </c>
      <c r="C59" s="3">
        <f>SUM(C47:C57)</f>
        <v>3480</v>
      </c>
      <c r="D59" s="3">
        <f>SUM(D47:D57)</f>
        <v>2219</v>
      </c>
      <c r="E59" s="3">
        <f>SUM(E47:E57)</f>
        <v>1261</v>
      </c>
      <c r="G59" s="3">
        <f>SUM(G48:G57)</f>
        <v>14</v>
      </c>
      <c r="H59" s="3">
        <f>SUM(H48:H57)</f>
        <v>119</v>
      </c>
      <c r="I59" s="3">
        <f>SUM(I48:I57)</f>
        <v>152</v>
      </c>
      <c r="J59" s="3">
        <f>SUM(J48:J57)</f>
        <v>64</v>
      </c>
      <c r="L59" s="3">
        <f>SUM(L47:L57)</f>
        <v>2800</v>
      </c>
      <c r="N59" s="3">
        <f>SUM(N47:N57)</f>
        <v>680</v>
      </c>
      <c r="P59" s="3">
        <f>SUM(P47:P57)</f>
        <v>116</v>
      </c>
    </row>
    <row r="63" spans="7:16" ht="12.75">
      <c r="G63" s="6"/>
      <c r="H63" s="4" t="s">
        <v>1</v>
      </c>
      <c r="N63" s="5" t="s">
        <v>2</v>
      </c>
      <c r="P63" s="5" t="s">
        <v>3</v>
      </c>
    </row>
    <row r="64" spans="1:16" ht="12.75">
      <c r="A64" s="4" t="s">
        <v>42</v>
      </c>
      <c r="B64" s="6"/>
      <c r="C64" s="7" t="s">
        <v>4</v>
      </c>
      <c r="D64" s="7" t="s">
        <v>5</v>
      </c>
      <c r="E64" s="7" t="s">
        <v>6</v>
      </c>
      <c r="F64" s="6"/>
      <c r="G64" s="7" t="s">
        <v>7</v>
      </c>
      <c r="H64" s="7" t="s">
        <v>8</v>
      </c>
      <c r="I64" s="7" t="s">
        <v>9</v>
      </c>
      <c r="J64" s="7" t="s">
        <v>10</v>
      </c>
      <c r="K64" s="6"/>
      <c r="L64" s="8" t="s">
        <v>11</v>
      </c>
      <c r="M64" s="6"/>
      <c r="N64" s="8" t="s">
        <v>12</v>
      </c>
      <c r="O64" s="6"/>
      <c r="P64" s="8" t="s">
        <v>13</v>
      </c>
    </row>
    <row r="65" spans="2:16" ht="12" customHeight="1">
      <c r="B65" s="14" t="s">
        <v>43</v>
      </c>
      <c r="C65" s="3">
        <f aca="true" t="shared" si="6" ref="C65:C76">D65+E65</f>
        <v>12</v>
      </c>
      <c r="D65" s="3">
        <v>2</v>
      </c>
      <c r="E65" s="3">
        <v>10</v>
      </c>
      <c r="L65" s="3">
        <f aca="true" t="shared" si="7" ref="L65:L76">(C65-N65)</f>
        <v>5</v>
      </c>
      <c r="N65" s="3">
        <v>7</v>
      </c>
      <c r="P65" s="3">
        <v>6</v>
      </c>
    </row>
    <row r="66" spans="2:14" ht="12" customHeight="1">
      <c r="B66" s="14" t="s">
        <v>44</v>
      </c>
      <c r="C66" s="3">
        <f t="shared" si="6"/>
        <v>18</v>
      </c>
      <c r="D66" s="3">
        <v>5</v>
      </c>
      <c r="E66" s="3">
        <v>13</v>
      </c>
      <c r="L66" s="3">
        <f t="shared" si="7"/>
        <v>16</v>
      </c>
      <c r="N66" s="3">
        <v>2</v>
      </c>
    </row>
    <row r="67" spans="2:16" ht="12" customHeight="1">
      <c r="B67" s="14" t="s">
        <v>201</v>
      </c>
      <c r="C67" s="3">
        <f t="shared" si="6"/>
        <v>261</v>
      </c>
      <c r="D67" s="3">
        <v>167</v>
      </c>
      <c r="E67" s="3">
        <v>94</v>
      </c>
      <c r="H67" s="3">
        <v>1</v>
      </c>
      <c r="I67" s="3">
        <v>9</v>
      </c>
      <c r="J67" s="3">
        <v>6</v>
      </c>
      <c r="L67" s="3">
        <f t="shared" si="7"/>
        <v>160</v>
      </c>
      <c r="N67" s="3">
        <f>58+43</f>
        <v>101</v>
      </c>
      <c r="P67" s="3">
        <v>12</v>
      </c>
    </row>
    <row r="68" spans="2:16" ht="12" customHeight="1">
      <c r="B68" s="14" t="s">
        <v>45</v>
      </c>
      <c r="C68" s="3">
        <f t="shared" si="6"/>
        <v>291</v>
      </c>
      <c r="D68" s="3">
        <v>95</v>
      </c>
      <c r="E68" s="3">
        <v>196</v>
      </c>
      <c r="G68" s="3">
        <v>2</v>
      </c>
      <c r="H68" s="3">
        <v>8</v>
      </c>
      <c r="I68" s="3">
        <v>8</v>
      </c>
      <c r="J68" s="3">
        <v>12</v>
      </c>
      <c r="L68" s="3">
        <f t="shared" si="7"/>
        <v>231</v>
      </c>
      <c r="N68" s="3">
        <f>16+44</f>
        <v>60</v>
      </c>
      <c r="P68" s="3">
        <v>4</v>
      </c>
    </row>
    <row r="69" spans="2:16" ht="12" customHeight="1">
      <c r="B69" s="14" t="s">
        <v>202</v>
      </c>
      <c r="C69" s="3">
        <f t="shared" si="6"/>
        <v>124</v>
      </c>
      <c r="D69" s="3">
        <v>32</v>
      </c>
      <c r="E69" s="3">
        <v>92</v>
      </c>
      <c r="H69" s="3">
        <v>2</v>
      </c>
      <c r="I69" s="3">
        <v>5</v>
      </c>
      <c r="J69" s="3">
        <v>3</v>
      </c>
      <c r="L69" s="3">
        <f t="shared" si="7"/>
        <v>101</v>
      </c>
      <c r="N69" s="3">
        <f>5+18</f>
        <v>23</v>
      </c>
      <c r="P69" s="3">
        <v>2</v>
      </c>
    </row>
    <row r="70" spans="2:16" ht="12" customHeight="1">
      <c r="B70" s="14" t="s">
        <v>203</v>
      </c>
      <c r="C70" s="3">
        <f t="shared" si="6"/>
        <v>166</v>
      </c>
      <c r="D70" s="3">
        <v>80</v>
      </c>
      <c r="E70" s="3">
        <v>86</v>
      </c>
      <c r="G70" s="3">
        <v>3</v>
      </c>
      <c r="H70" s="3">
        <v>3</v>
      </c>
      <c r="I70" s="3">
        <v>11</v>
      </c>
      <c r="J70" s="3">
        <v>9</v>
      </c>
      <c r="L70" s="3">
        <f t="shared" si="7"/>
        <v>135</v>
      </c>
      <c r="N70" s="3">
        <f>10+21</f>
        <v>31</v>
      </c>
      <c r="P70" s="3">
        <v>1</v>
      </c>
    </row>
    <row r="71" spans="2:16" ht="12" customHeight="1">
      <c r="B71" s="14" t="s">
        <v>204</v>
      </c>
      <c r="C71" s="3">
        <f t="shared" si="6"/>
        <v>89</v>
      </c>
      <c r="D71" s="3">
        <v>63</v>
      </c>
      <c r="E71" s="3">
        <v>26</v>
      </c>
      <c r="H71" s="3">
        <v>3</v>
      </c>
      <c r="I71" s="3">
        <v>3</v>
      </c>
      <c r="J71" s="3">
        <v>3</v>
      </c>
      <c r="L71" s="3">
        <f t="shared" si="7"/>
        <v>55</v>
      </c>
      <c r="N71" s="3">
        <f>24+10</f>
        <v>34</v>
      </c>
      <c r="P71" s="3">
        <v>3</v>
      </c>
    </row>
    <row r="72" spans="2:16" ht="12" customHeight="1">
      <c r="B72" s="14" t="s">
        <v>47</v>
      </c>
      <c r="C72" s="3">
        <f t="shared" si="6"/>
        <v>179</v>
      </c>
      <c r="D72" s="3">
        <v>51</v>
      </c>
      <c r="E72" s="3">
        <v>128</v>
      </c>
      <c r="H72" s="3">
        <v>3</v>
      </c>
      <c r="I72" s="3">
        <v>5</v>
      </c>
      <c r="J72" s="3">
        <v>1</v>
      </c>
      <c r="L72" s="3">
        <f t="shared" si="7"/>
        <v>145</v>
      </c>
      <c r="N72" s="3">
        <f>7+27</f>
        <v>34</v>
      </c>
      <c r="P72" s="3">
        <v>4</v>
      </c>
    </row>
    <row r="73" spans="2:16" ht="12" customHeight="1">
      <c r="B73" s="14" t="s">
        <v>48</v>
      </c>
      <c r="C73" s="3">
        <f t="shared" si="6"/>
        <v>115</v>
      </c>
      <c r="D73" s="3">
        <v>10</v>
      </c>
      <c r="E73" s="3">
        <v>105</v>
      </c>
      <c r="J73" s="3">
        <v>3</v>
      </c>
      <c r="L73" s="3">
        <f t="shared" si="7"/>
        <v>73</v>
      </c>
      <c r="N73" s="3">
        <f>3+39</f>
        <v>42</v>
      </c>
      <c r="P73" s="3">
        <v>5</v>
      </c>
    </row>
    <row r="74" spans="2:16" ht="12" customHeight="1">
      <c r="B74" s="14" t="s">
        <v>49</v>
      </c>
      <c r="C74" s="3">
        <f t="shared" si="6"/>
        <v>121</v>
      </c>
      <c r="D74" s="3">
        <v>73</v>
      </c>
      <c r="E74" s="3">
        <v>48</v>
      </c>
      <c r="I74" s="3">
        <v>3</v>
      </c>
      <c r="J74" s="3">
        <v>2</v>
      </c>
      <c r="L74" s="3">
        <f t="shared" si="7"/>
        <v>87</v>
      </c>
      <c r="N74" s="3">
        <f>17+17</f>
        <v>34</v>
      </c>
      <c r="P74" s="3">
        <v>2</v>
      </c>
    </row>
    <row r="75" spans="2:16" ht="12" customHeight="1">
      <c r="B75" s="14" t="s">
        <v>50</v>
      </c>
      <c r="C75" s="3">
        <f t="shared" si="6"/>
        <v>337</v>
      </c>
      <c r="D75" s="3">
        <v>222</v>
      </c>
      <c r="E75" s="3">
        <v>115</v>
      </c>
      <c r="H75" s="3">
        <v>12</v>
      </c>
      <c r="I75" s="3">
        <v>15</v>
      </c>
      <c r="J75" s="3">
        <v>8</v>
      </c>
      <c r="L75" s="3">
        <f t="shared" si="7"/>
        <v>212</v>
      </c>
      <c r="N75" s="3">
        <f>82+43</f>
        <v>125</v>
      </c>
      <c r="P75" s="3">
        <v>10</v>
      </c>
    </row>
    <row r="76" spans="2:14" ht="12" customHeight="1">
      <c r="B76" s="14" t="s">
        <v>51</v>
      </c>
      <c r="C76" s="3">
        <f t="shared" si="6"/>
        <v>40</v>
      </c>
      <c r="D76" s="3">
        <v>31</v>
      </c>
      <c r="E76" s="3">
        <v>9</v>
      </c>
      <c r="L76" s="3">
        <f t="shared" si="7"/>
        <v>30</v>
      </c>
      <c r="N76" s="3">
        <f>8+2</f>
        <v>10</v>
      </c>
    </row>
    <row r="78" spans="1:16" ht="12.75">
      <c r="A78" s="9" t="s">
        <v>4</v>
      </c>
      <c r="C78" s="3">
        <f>SUM(C65:C76)</f>
        <v>1753</v>
      </c>
      <c r="D78" s="3">
        <f>SUM(D65:D76)</f>
        <v>831</v>
      </c>
      <c r="E78" s="3">
        <f>SUM(E65:E76)</f>
        <v>922</v>
      </c>
      <c r="G78" s="3">
        <f>SUM(G65:G76)</f>
        <v>5</v>
      </c>
      <c r="H78" s="3">
        <f>SUM(H65:H76)</f>
        <v>32</v>
      </c>
      <c r="I78" s="3">
        <f>SUM(I65:I76)</f>
        <v>59</v>
      </c>
      <c r="J78" s="3">
        <f>SUM(J65:J76)</f>
        <v>47</v>
      </c>
      <c r="L78" s="3">
        <f>SUM(L65:L76)</f>
        <v>1250</v>
      </c>
      <c r="N78" s="3">
        <f>SUM(N65:N76)</f>
        <v>503</v>
      </c>
      <c r="P78" s="3">
        <f>SUM(P65:P76)</f>
        <v>49</v>
      </c>
    </row>
    <row r="82" spans="1:17" ht="12.75">
      <c r="A82" s="2" t="s">
        <v>188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4" spans="8:16" ht="12.75">
      <c r="H84" s="4" t="s">
        <v>1</v>
      </c>
      <c r="N84" s="5" t="s">
        <v>2</v>
      </c>
      <c r="P84" s="5" t="s">
        <v>3</v>
      </c>
    </row>
    <row r="85" spans="1:16" ht="12.75">
      <c r="A85" s="4" t="s">
        <v>55</v>
      </c>
      <c r="B85" s="6"/>
      <c r="C85" s="7" t="s">
        <v>4</v>
      </c>
      <c r="D85" s="7" t="s">
        <v>5</v>
      </c>
      <c r="E85" s="7" t="s">
        <v>6</v>
      </c>
      <c r="F85" s="6"/>
      <c r="G85" s="7" t="s">
        <v>7</v>
      </c>
      <c r="H85" s="7" t="s">
        <v>8</v>
      </c>
      <c r="I85" s="7" t="s">
        <v>9</v>
      </c>
      <c r="J85" s="7" t="s">
        <v>10</v>
      </c>
      <c r="K85" s="6"/>
      <c r="L85" s="8" t="s">
        <v>11</v>
      </c>
      <c r="M85" s="6"/>
      <c r="N85" s="8" t="s">
        <v>12</v>
      </c>
      <c r="O85" s="6"/>
      <c r="P85" s="8" t="s">
        <v>13</v>
      </c>
    </row>
    <row r="86" spans="2:16" ht="12" customHeight="1">
      <c r="B86" s="9" t="s">
        <v>56</v>
      </c>
      <c r="C86" s="3">
        <f aca="true" t="shared" si="8" ref="C86:C98">D86+E86</f>
        <v>30</v>
      </c>
      <c r="D86" s="3">
        <v>23</v>
      </c>
      <c r="E86" s="3">
        <v>7</v>
      </c>
      <c r="I86" s="3">
        <v>1</v>
      </c>
      <c r="L86" s="3">
        <f aca="true" t="shared" si="9" ref="L86:L98">(C86-N86)</f>
        <v>1</v>
      </c>
      <c r="N86" s="3">
        <f>22+7</f>
        <v>29</v>
      </c>
      <c r="P86" s="3">
        <v>22</v>
      </c>
    </row>
    <row r="87" spans="2:16" ht="12" customHeight="1">
      <c r="B87" s="9" t="s">
        <v>119</v>
      </c>
      <c r="C87" s="3">
        <f t="shared" si="8"/>
        <v>392</v>
      </c>
      <c r="D87" s="3">
        <v>330</v>
      </c>
      <c r="E87" s="3">
        <v>62</v>
      </c>
      <c r="G87" s="3">
        <v>1</v>
      </c>
      <c r="H87" s="3">
        <v>4</v>
      </c>
      <c r="I87" s="3">
        <v>9</v>
      </c>
      <c r="J87" s="3">
        <v>9</v>
      </c>
      <c r="L87" s="3">
        <f t="shared" si="9"/>
        <v>279</v>
      </c>
      <c r="N87" s="3">
        <f>91+22</f>
        <v>113</v>
      </c>
      <c r="P87" s="3">
        <v>4</v>
      </c>
    </row>
    <row r="88" spans="2:16" ht="12" customHeight="1">
      <c r="B88" s="9" t="s">
        <v>57</v>
      </c>
      <c r="C88" s="3">
        <f t="shared" si="8"/>
        <v>430</v>
      </c>
      <c r="D88" s="3">
        <v>371</v>
      </c>
      <c r="E88" s="3">
        <v>59</v>
      </c>
      <c r="G88" s="3">
        <v>1</v>
      </c>
      <c r="H88" s="3">
        <v>12</v>
      </c>
      <c r="I88" s="3">
        <v>21</v>
      </c>
      <c r="J88" s="3">
        <v>8</v>
      </c>
      <c r="L88" s="3">
        <f t="shared" si="9"/>
        <v>199</v>
      </c>
      <c r="N88" s="3">
        <f>196+35</f>
        <v>231</v>
      </c>
      <c r="P88" s="3">
        <v>20</v>
      </c>
    </row>
    <row r="89" spans="2:16" ht="12" customHeight="1">
      <c r="B89" s="9" t="s">
        <v>58</v>
      </c>
      <c r="C89" s="3">
        <f t="shared" si="8"/>
        <v>151</v>
      </c>
      <c r="D89" s="3">
        <v>136</v>
      </c>
      <c r="E89" s="3">
        <v>15</v>
      </c>
      <c r="H89" s="3">
        <v>1</v>
      </c>
      <c r="I89" s="3">
        <v>1</v>
      </c>
      <c r="J89" s="3">
        <v>1</v>
      </c>
      <c r="L89" s="3">
        <f t="shared" si="9"/>
        <v>136</v>
      </c>
      <c r="N89" s="3">
        <v>15</v>
      </c>
      <c r="P89" s="3">
        <v>1</v>
      </c>
    </row>
    <row r="90" spans="2:16" ht="12" customHeight="1">
      <c r="B90" s="9" t="s">
        <v>59</v>
      </c>
      <c r="C90" s="3">
        <f t="shared" si="8"/>
        <v>340</v>
      </c>
      <c r="D90" s="3">
        <v>222</v>
      </c>
      <c r="E90" s="3">
        <v>118</v>
      </c>
      <c r="G90" s="3">
        <v>2</v>
      </c>
      <c r="H90" s="3">
        <v>9</v>
      </c>
      <c r="I90" s="3">
        <v>17</v>
      </c>
      <c r="J90" s="3">
        <v>12</v>
      </c>
      <c r="L90" s="3">
        <f t="shared" si="9"/>
        <v>194</v>
      </c>
      <c r="N90" s="3">
        <f>86+60</f>
        <v>146</v>
      </c>
      <c r="P90" s="3">
        <v>24</v>
      </c>
    </row>
    <row r="91" spans="2:16" ht="12" customHeight="1">
      <c r="B91" s="9" t="s">
        <v>60</v>
      </c>
      <c r="C91" s="3">
        <f t="shared" si="8"/>
        <v>449</v>
      </c>
      <c r="D91" s="3">
        <v>349</v>
      </c>
      <c r="E91" s="3">
        <v>100</v>
      </c>
      <c r="H91" s="3">
        <v>11</v>
      </c>
      <c r="I91" s="3">
        <v>10</v>
      </c>
      <c r="J91" s="3">
        <v>12</v>
      </c>
      <c r="L91" s="3">
        <f t="shared" si="9"/>
        <v>308</v>
      </c>
      <c r="N91" s="3">
        <f>104+37</f>
        <v>141</v>
      </c>
      <c r="P91" s="3">
        <v>13</v>
      </c>
    </row>
    <row r="92" spans="2:16" ht="12" customHeight="1">
      <c r="B92" s="9" t="s">
        <v>61</v>
      </c>
      <c r="C92" s="3">
        <f t="shared" si="8"/>
        <v>540</v>
      </c>
      <c r="D92" s="3">
        <v>499</v>
      </c>
      <c r="E92" s="3">
        <v>41</v>
      </c>
      <c r="G92" s="3">
        <v>1</v>
      </c>
      <c r="H92" s="3">
        <v>16</v>
      </c>
      <c r="I92" s="3">
        <v>28</v>
      </c>
      <c r="J92" s="3">
        <v>17</v>
      </c>
      <c r="L92" s="3">
        <f t="shared" si="9"/>
        <v>382</v>
      </c>
      <c r="N92" s="3">
        <f>142+16</f>
        <v>158</v>
      </c>
      <c r="P92" s="3">
        <v>36</v>
      </c>
    </row>
    <row r="93" spans="2:14" ht="12" customHeight="1">
      <c r="B93" s="9" t="s">
        <v>62</v>
      </c>
      <c r="C93" s="3">
        <f t="shared" si="8"/>
        <v>330</v>
      </c>
      <c r="D93" s="3">
        <v>304</v>
      </c>
      <c r="E93" s="3">
        <v>26</v>
      </c>
      <c r="G93" s="3">
        <v>3</v>
      </c>
      <c r="H93" s="3">
        <v>5</v>
      </c>
      <c r="I93" s="3">
        <v>3</v>
      </c>
      <c r="J93" s="3">
        <v>4</v>
      </c>
      <c r="L93" s="3">
        <f t="shared" si="9"/>
        <v>265</v>
      </c>
      <c r="N93" s="3">
        <f>56+9</f>
        <v>65</v>
      </c>
    </row>
    <row r="94" spans="2:16" ht="12" customHeight="1">
      <c r="B94" s="9" t="s">
        <v>63</v>
      </c>
      <c r="C94" s="3">
        <f t="shared" si="8"/>
        <v>425</v>
      </c>
      <c r="D94" s="3">
        <v>381</v>
      </c>
      <c r="E94" s="3">
        <v>44</v>
      </c>
      <c r="G94" s="3">
        <v>2</v>
      </c>
      <c r="H94" s="3">
        <v>22</v>
      </c>
      <c r="I94" s="3">
        <v>27</v>
      </c>
      <c r="J94" s="3">
        <v>7</v>
      </c>
      <c r="L94" s="3">
        <f t="shared" si="9"/>
        <v>276</v>
      </c>
      <c r="N94" s="3">
        <f>125+24</f>
        <v>149</v>
      </c>
      <c r="P94" s="3">
        <v>54</v>
      </c>
    </row>
    <row r="95" spans="2:12" ht="12" customHeight="1">
      <c r="B95" s="9" t="s">
        <v>64</v>
      </c>
      <c r="C95" s="3">
        <f t="shared" si="8"/>
        <v>2</v>
      </c>
      <c r="D95" s="3">
        <v>1</v>
      </c>
      <c r="E95" s="3">
        <v>1</v>
      </c>
      <c r="L95" s="3">
        <f t="shared" si="9"/>
        <v>2</v>
      </c>
    </row>
    <row r="96" spans="2:16" ht="12" customHeight="1">
      <c r="B96" s="9" t="s">
        <v>65</v>
      </c>
      <c r="C96" s="3">
        <f t="shared" si="8"/>
        <v>257</v>
      </c>
      <c r="D96" s="3">
        <v>175</v>
      </c>
      <c r="E96" s="3">
        <v>82</v>
      </c>
      <c r="H96" s="3">
        <v>7</v>
      </c>
      <c r="I96" s="3">
        <v>15</v>
      </c>
      <c r="J96" s="3">
        <v>6</v>
      </c>
      <c r="L96" s="3">
        <f t="shared" si="9"/>
        <v>170</v>
      </c>
      <c r="N96" s="3">
        <f>55+32</f>
        <v>87</v>
      </c>
      <c r="P96" s="3">
        <v>16</v>
      </c>
    </row>
    <row r="97" spans="2:16" ht="12" customHeight="1">
      <c r="B97" s="9" t="s">
        <v>120</v>
      </c>
      <c r="C97" s="3">
        <f t="shared" si="8"/>
        <v>154</v>
      </c>
      <c r="D97" s="3">
        <v>117</v>
      </c>
      <c r="E97" s="3">
        <v>37</v>
      </c>
      <c r="G97" s="3">
        <v>1</v>
      </c>
      <c r="H97" s="3">
        <v>3</v>
      </c>
      <c r="I97" s="3">
        <v>9</v>
      </c>
      <c r="J97" s="3">
        <v>3</v>
      </c>
      <c r="L97" s="3">
        <f t="shared" si="9"/>
        <v>112</v>
      </c>
      <c r="N97" s="3">
        <f>33+9</f>
        <v>42</v>
      </c>
      <c r="P97" s="3">
        <v>1</v>
      </c>
    </row>
    <row r="98" spans="2:16" ht="12" customHeight="1">
      <c r="B98" s="9" t="s">
        <v>66</v>
      </c>
      <c r="C98" s="3">
        <f t="shared" si="8"/>
        <v>1051</v>
      </c>
      <c r="D98" s="3">
        <v>955</v>
      </c>
      <c r="E98" s="3">
        <v>96</v>
      </c>
      <c r="G98" s="3">
        <v>4</v>
      </c>
      <c r="H98" s="3">
        <f>17+9</f>
        <v>26</v>
      </c>
      <c r="I98" s="3">
        <v>34</v>
      </c>
      <c r="J98" s="3">
        <v>20</v>
      </c>
      <c r="L98" s="3">
        <f t="shared" si="9"/>
        <v>727</v>
      </c>
      <c r="N98" s="3">
        <f>290+34</f>
        <v>324</v>
      </c>
      <c r="P98" s="3">
        <v>39</v>
      </c>
    </row>
    <row r="100" spans="1:16" ht="12.75">
      <c r="A100" s="9" t="s">
        <v>4</v>
      </c>
      <c r="C100" s="3">
        <f>SUM(C86:C98)</f>
        <v>4551</v>
      </c>
      <c r="D100" s="3">
        <f>SUM(D86:D98)</f>
        <v>3863</v>
      </c>
      <c r="E100" s="3">
        <f>SUM(E86:E98)</f>
        <v>688</v>
      </c>
      <c r="G100" s="3">
        <f>SUM(G86:G98)</f>
        <v>15</v>
      </c>
      <c r="H100" s="3">
        <f>SUM(H86:H98)</f>
        <v>116</v>
      </c>
      <c r="I100" s="3">
        <f>SUM(I86:I98)</f>
        <v>175</v>
      </c>
      <c r="J100" s="3">
        <f>SUM(J86:J98)</f>
        <v>99</v>
      </c>
      <c r="L100" s="3">
        <f>SUM(L86:L98)</f>
        <v>3051</v>
      </c>
      <c r="N100" s="3">
        <f>SUM(N86:N98)</f>
        <v>1500</v>
      </c>
      <c r="P100" s="3">
        <f>SUM(P86:P98)</f>
        <v>230</v>
      </c>
    </row>
    <row r="103" spans="8:16" ht="12.75">
      <c r="H103" s="4" t="s">
        <v>1</v>
      </c>
      <c r="N103" s="5" t="s">
        <v>2</v>
      </c>
      <c r="P103" s="5" t="s">
        <v>3</v>
      </c>
    </row>
    <row r="104" spans="1:16" ht="12.75">
      <c r="A104" s="4" t="s">
        <v>214</v>
      </c>
      <c r="B104" s="6"/>
      <c r="C104" s="7" t="s">
        <v>4</v>
      </c>
      <c r="D104" s="7" t="s">
        <v>5</v>
      </c>
      <c r="E104" s="7" t="s">
        <v>6</v>
      </c>
      <c r="F104" s="6"/>
      <c r="G104" s="7" t="s">
        <v>7</v>
      </c>
      <c r="H104" s="7" t="s">
        <v>8</v>
      </c>
      <c r="I104" s="7" t="s">
        <v>9</v>
      </c>
      <c r="J104" s="7" t="s">
        <v>10</v>
      </c>
      <c r="K104" s="6"/>
      <c r="L104" s="8" t="s">
        <v>11</v>
      </c>
      <c r="M104" s="6"/>
      <c r="N104" s="8" t="s">
        <v>12</v>
      </c>
      <c r="O104" s="6"/>
      <c r="P104" s="8" t="s">
        <v>13</v>
      </c>
    </row>
    <row r="105" spans="2:16" ht="12.75">
      <c r="B105" s="9" t="s">
        <v>206</v>
      </c>
      <c r="C105" s="3">
        <f aca="true" t="shared" si="10" ref="C105:C122">D105+E105</f>
        <v>20</v>
      </c>
      <c r="D105" s="3">
        <v>1</v>
      </c>
      <c r="E105" s="3">
        <v>19</v>
      </c>
      <c r="H105" s="3">
        <v>1</v>
      </c>
      <c r="I105" s="3">
        <v>3</v>
      </c>
      <c r="L105" s="3">
        <f aca="true" t="shared" si="11" ref="L105:L122">(C105-N105)</f>
        <v>8</v>
      </c>
      <c r="N105" s="3">
        <v>12</v>
      </c>
      <c r="P105" s="3">
        <v>3</v>
      </c>
    </row>
    <row r="106" spans="2:14" ht="12.75">
      <c r="B106" s="9" t="s">
        <v>207</v>
      </c>
      <c r="C106" s="3">
        <f t="shared" si="10"/>
        <v>10</v>
      </c>
      <c r="D106" s="3">
        <v>2</v>
      </c>
      <c r="E106" s="3">
        <v>8</v>
      </c>
      <c r="H106" s="3">
        <v>1</v>
      </c>
      <c r="L106" s="3">
        <f t="shared" si="11"/>
        <v>8</v>
      </c>
      <c r="N106" s="3">
        <v>2</v>
      </c>
    </row>
    <row r="107" spans="2:16" ht="25.5">
      <c r="B107" s="13" t="s">
        <v>215</v>
      </c>
      <c r="C107" s="3">
        <f t="shared" si="10"/>
        <v>396</v>
      </c>
      <c r="D107" s="3">
        <v>17</v>
      </c>
      <c r="E107" s="3">
        <v>379</v>
      </c>
      <c r="H107" s="3">
        <v>12</v>
      </c>
      <c r="I107" s="3">
        <v>22</v>
      </c>
      <c r="J107" s="3">
        <v>7</v>
      </c>
      <c r="L107" s="3">
        <f t="shared" si="11"/>
        <v>305</v>
      </c>
      <c r="N107" s="3">
        <f>6+85</f>
        <v>91</v>
      </c>
      <c r="P107" s="3">
        <v>5</v>
      </c>
    </row>
    <row r="108" spans="2:16" ht="12.75">
      <c r="B108" s="9" t="s">
        <v>208</v>
      </c>
      <c r="C108" s="3">
        <f t="shared" si="10"/>
        <v>248</v>
      </c>
      <c r="D108" s="3">
        <v>9</v>
      </c>
      <c r="E108" s="3">
        <v>239</v>
      </c>
      <c r="H108" s="3">
        <v>16</v>
      </c>
      <c r="I108" s="3">
        <v>8</v>
      </c>
      <c r="J108" s="3">
        <v>7</v>
      </c>
      <c r="L108" s="3">
        <f t="shared" si="11"/>
        <v>228</v>
      </c>
      <c r="N108" s="3">
        <v>20</v>
      </c>
      <c r="P108" s="3">
        <v>1</v>
      </c>
    </row>
    <row r="109" spans="2:14" ht="12.75">
      <c r="B109" s="9" t="s">
        <v>52</v>
      </c>
      <c r="C109" s="3">
        <f t="shared" si="10"/>
        <v>9</v>
      </c>
      <c r="D109" s="3">
        <v>1</v>
      </c>
      <c r="E109" s="3">
        <v>8</v>
      </c>
      <c r="J109" s="3">
        <v>2</v>
      </c>
      <c r="L109" s="3">
        <f t="shared" si="11"/>
        <v>8</v>
      </c>
      <c r="N109" s="3">
        <v>1</v>
      </c>
    </row>
    <row r="110" spans="2:16" ht="12.75">
      <c r="B110" s="9" t="s">
        <v>209</v>
      </c>
      <c r="C110" s="3">
        <f t="shared" si="10"/>
        <v>187</v>
      </c>
      <c r="D110" s="3">
        <v>7</v>
      </c>
      <c r="E110" s="3">
        <v>180</v>
      </c>
      <c r="H110" s="3">
        <v>2</v>
      </c>
      <c r="I110" s="3">
        <v>4</v>
      </c>
      <c r="J110" s="3">
        <v>7</v>
      </c>
      <c r="L110" s="3">
        <f t="shared" si="11"/>
        <v>150</v>
      </c>
      <c r="N110" s="3">
        <v>37</v>
      </c>
      <c r="P110" s="3">
        <v>4</v>
      </c>
    </row>
    <row r="111" spans="2:16" ht="12.75">
      <c r="B111" s="9" t="s">
        <v>210</v>
      </c>
      <c r="C111" s="3">
        <f t="shared" si="10"/>
        <v>187</v>
      </c>
      <c r="D111" s="3">
        <v>6</v>
      </c>
      <c r="E111" s="3">
        <v>181</v>
      </c>
      <c r="H111" s="3">
        <v>5</v>
      </c>
      <c r="I111" s="3">
        <v>2</v>
      </c>
      <c r="J111" s="3">
        <v>1</v>
      </c>
      <c r="L111" s="3">
        <f t="shared" si="11"/>
        <v>164</v>
      </c>
      <c r="N111" s="3">
        <v>23</v>
      </c>
      <c r="P111" s="3">
        <v>2</v>
      </c>
    </row>
    <row r="112" spans="2:16" ht="12.75">
      <c r="B112" s="9" t="s">
        <v>53</v>
      </c>
      <c r="C112" s="3">
        <f t="shared" si="10"/>
        <v>546</v>
      </c>
      <c r="D112" s="3">
        <v>87</v>
      </c>
      <c r="E112" s="3">
        <v>459</v>
      </c>
      <c r="H112" s="3">
        <v>4</v>
      </c>
      <c r="I112" s="3">
        <v>9</v>
      </c>
      <c r="J112" s="3">
        <v>9</v>
      </c>
      <c r="L112" s="3">
        <f t="shared" si="11"/>
        <v>478</v>
      </c>
      <c r="N112" s="3">
        <f>6+62</f>
        <v>68</v>
      </c>
      <c r="P112" s="3">
        <v>1</v>
      </c>
    </row>
    <row r="113" spans="2:14" ht="12.75">
      <c r="B113" s="9" t="s">
        <v>211</v>
      </c>
      <c r="C113" s="3">
        <f t="shared" si="10"/>
        <v>39</v>
      </c>
      <c r="D113" s="3">
        <v>14</v>
      </c>
      <c r="E113" s="3">
        <v>25</v>
      </c>
      <c r="H113" s="3">
        <v>3</v>
      </c>
      <c r="L113" s="3">
        <f t="shared" si="11"/>
        <v>29</v>
      </c>
      <c r="N113" s="3">
        <f>2+8</f>
        <v>10</v>
      </c>
    </row>
    <row r="114" spans="2:12" ht="12.75">
      <c r="B114" s="9" t="s">
        <v>212</v>
      </c>
      <c r="C114" s="3">
        <f t="shared" si="10"/>
        <v>2</v>
      </c>
      <c r="D114" s="3">
        <v>0</v>
      </c>
      <c r="E114" s="3">
        <v>2</v>
      </c>
      <c r="L114" s="3">
        <f t="shared" si="11"/>
        <v>2</v>
      </c>
    </row>
    <row r="115" spans="2:14" ht="12.75">
      <c r="B115" s="9" t="s">
        <v>68</v>
      </c>
      <c r="C115" s="3">
        <f t="shared" si="10"/>
        <v>56</v>
      </c>
      <c r="D115" s="3">
        <v>3</v>
      </c>
      <c r="E115" s="3">
        <v>53</v>
      </c>
      <c r="H115" s="3">
        <v>1</v>
      </c>
      <c r="J115" s="3">
        <v>3</v>
      </c>
      <c r="L115" s="3">
        <f t="shared" si="11"/>
        <v>52</v>
      </c>
      <c r="N115" s="3">
        <v>4</v>
      </c>
    </row>
    <row r="116" spans="2:12" ht="25.5">
      <c r="B116" s="13" t="s">
        <v>216</v>
      </c>
      <c r="C116" s="3">
        <f t="shared" si="10"/>
        <v>10</v>
      </c>
      <c r="D116" s="3">
        <v>1</v>
      </c>
      <c r="E116" s="3">
        <v>9</v>
      </c>
      <c r="H116" s="3">
        <v>1</v>
      </c>
      <c r="I116" s="3">
        <v>2</v>
      </c>
      <c r="L116" s="3">
        <f t="shared" si="11"/>
        <v>10</v>
      </c>
    </row>
    <row r="117" spans="2:16" ht="12.75">
      <c r="B117" s="9" t="s">
        <v>69</v>
      </c>
      <c r="C117" s="3">
        <f t="shared" si="10"/>
        <v>42</v>
      </c>
      <c r="D117" s="3">
        <v>8</v>
      </c>
      <c r="E117" s="3">
        <v>34</v>
      </c>
      <c r="I117" s="3">
        <v>1</v>
      </c>
      <c r="L117" s="3">
        <f t="shared" si="11"/>
        <v>30</v>
      </c>
      <c r="N117" s="3">
        <v>12</v>
      </c>
      <c r="P117" s="3">
        <v>5</v>
      </c>
    </row>
    <row r="118" spans="2:16" ht="12.75">
      <c r="B118" s="9" t="s">
        <v>137</v>
      </c>
      <c r="C118" s="3">
        <f t="shared" si="10"/>
        <v>649</v>
      </c>
      <c r="D118" s="3">
        <v>311</v>
      </c>
      <c r="E118" s="3">
        <v>338</v>
      </c>
      <c r="G118" s="3">
        <v>7</v>
      </c>
      <c r="H118" s="3">
        <v>20</v>
      </c>
      <c r="I118" s="3">
        <v>13</v>
      </c>
      <c r="J118" s="3">
        <v>14</v>
      </c>
      <c r="L118" s="3">
        <f t="shared" si="11"/>
        <v>525</v>
      </c>
      <c r="N118" s="3">
        <f>60+64</f>
        <v>124</v>
      </c>
      <c r="P118" s="3">
        <v>5</v>
      </c>
    </row>
    <row r="119" spans="2:16" ht="25.5">
      <c r="B119" s="13" t="s">
        <v>232</v>
      </c>
      <c r="C119" s="3">
        <f t="shared" si="10"/>
        <v>210</v>
      </c>
      <c r="D119" s="3">
        <v>90</v>
      </c>
      <c r="E119" s="3">
        <v>120</v>
      </c>
      <c r="H119" s="3">
        <v>5</v>
      </c>
      <c r="I119" s="3">
        <v>6</v>
      </c>
      <c r="J119" s="3">
        <v>6</v>
      </c>
      <c r="L119" s="3">
        <f t="shared" si="11"/>
        <v>170</v>
      </c>
      <c r="N119" s="3">
        <f>15+25</f>
        <v>40</v>
      </c>
      <c r="P119" s="3">
        <v>12</v>
      </c>
    </row>
    <row r="120" spans="2:14" ht="12.75">
      <c r="B120" s="9" t="s">
        <v>70</v>
      </c>
      <c r="C120" s="3">
        <f t="shared" si="10"/>
        <v>8</v>
      </c>
      <c r="D120" s="3">
        <v>1</v>
      </c>
      <c r="E120" s="3">
        <v>7</v>
      </c>
      <c r="J120" s="3">
        <v>1</v>
      </c>
      <c r="L120" s="3">
        <f t="shared" si="11"/>
        <v>7</v>
      </c>
      <c r="N120" s="3">
        <v>1</v>
      </c>
    </row>
    <row r="121" spans="2:16" ht="12.75">
      <c r="B121" s="9" t="s">
        <v>213</v>
      </c>
      <c r="C121" s="3">
        <f t="shared" si="10"/>
        <v>28</v>
      </c>
      <c r="D121" s="3">
        <v>6</v>
      </c>
      <c r="E121" s="3">
        <v>22</v>
      </c>
      <c r="G121" s="3">
        <v>1</v>
      </c>
      <c r="H121" s="3">
        <v>1</v>
      </c>
      <c r="I121" s="3">
        <v>3</v>
      </c>
      <c r="J121" s="3">
        <v>1</v>
      </c>
      <c r="L121" s="3">
        <f t="shared" si="11"/>
        <v>20</v>
      </c>
      <c r="N121" s="3">
        <v>8</v>
      </c>
      <c r="P121" s="3">
        <v>4</v>
      </c>
    </row>
    <row r="122" spans="2:12" ht="25.5">
      <c r="B122" s="13" t="s">
        <v>217</v>
      </c>
      <c r="C122" s="3">
        <f t="shared" si="10"/>
        <v>0</v>
      </c>
      <c r="D122" s="3">
        <v>0</v>
      </c>
      <c r="E122" s="3">
        <v>0</v>
      </c>
      <c r="L122" s="3">
        <f t="shared" si="11"/>
        <v>0</v>
      </c>
    </row>
    <row r="124" spans="1:16" ht="12.75">
      <c r="A124" s="9" t="s">
        <v>4</v>
      </c>
      <c r="C124" s="3">
        <f>SUM(C105:C122)</f>
        <v>2647</v>
      </c>
      <c r="D124" s="3">
        <f>SUM(D105:D122)</f>
        <v>564</v>
      </c>
      <c r="E124" s="3">
        <f>SUM(E105:E122)</f>
        <v>2083</v>
      </c>
      <c r="G124" s="3">
        <f>SUM(G105:G122)</f>
        <v>8</v>
      </c>
      <c r="H124" s="3">
        <f>SUM(H105:H122)</f>
        <v>72</v>
      </c>
      <c r="I124" s="3">
        <f>SUM(I105:I122)</f>
        <v>73</v>
      </c>
      <c r="J124" s="3">
        <f>SUM(J105:J122)</f>
        <v>58</v>
      </c>
      <c r="L124" s="3">
        <f>SUM(L105:L122)</f>
        <v>2194</v>
      </c>
      <c r="N124" s="3">
        <f>SUM(N105:N122)</f>
        <v>453</v>
      </c>
      <c r="P124" s="3">
        <f>SUM(P105:P122)</f>
        <v>42</v>
      </c>
    </row>
    <row r="127" ht="12.75">
      <c r="A127" s="9"/>
    </row>
    <row r="128" ht="12.75">
      <c r="A128" s="10"/>
    </row>
    <row r="129" spans="1:17" ht="12.75">
      <c r="A129" s="2" t="s">
        <v>188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1" spans="8:16" ht="12.75">
      <c r="H131" s="4" t="s">
        <v>1</v>
      </c>
      <c r="N131" s="5" t="s">
        <v>2</v>
      </c>
      <c r="P131" s="5" t="s">
        <v>3</v>
      </c>
    </row>
    <row r="132" spans="1:16" ht="12.75">
      <c r="A132" s="4" t="s">
        <v>72</v>
      </c>
      <c r="B132" s="6"/>
      <c r="C132" s="7" t="s">
        <v>4</v>
      </c>
      <c r="D132" s="7" t="s">
        <v>5</v>
      </c>
      <c r="E132" s="7" t="s">
        <v>6</v>
      </c>
      <c r="F132" s="6"/>
      <c r="G132" s="7" t="s">
        <v>7</v>
      </c>
      <c r="H132" s="7" t="s">
        <v>8</v>
      </c>
      <c r="I132" s="7" t="s">
        <v>9</v>
      </c>
      <c r="J132" s="7" t="s">
        <v>10</v>
      </c>
      <c r="K132" s="6"/>
      <c r="L132" s="8" t="s">
        <v>11</v>
      </c>
      <c r="M132" s="6"/>
      <c r="N132" s="8" t="s">
        <v>12</v>
      </c>
      <c r="O132" s="6"/>
      <c r="P132" s="8" t="s">
        <v>13</v>
      </c>
    </row>
    <row r="133" spans="2:16" ht="12" customHeight="1">
      <c r="B133" s="14" t="s">
        <v>218</v>
      </c>
      <c r="C133" s="3">
        <f aca="true" t="shared" si="12" ref="C133:C145">D133+E133</f>
        <v>36</v>
      </c>
      <c r="D133" s="3">
        <v>23</v>
      </c>
      <c r="E133" s="3">
        <v>13</v>
      </c>
      <c r="I133" s="3">
        <v>1</v>
      </c>
      <c r="J133" s="3">
        <v>1</v>
      </c>
      <c r="L133" s="3">
        <f aca="true" t="shared" si="13" ref="L133:L145">(C133-N133)</f>
        <v>1</v>
      </c>
      <c r="N133" s="3">
        <f>22+13</f>
        <v>35</v>
      </c>
      <c r="P133" s="3">
        <f>21+13</f>
        <v>34</v>
      </c>
    </row>
    <row r="134" spans="2:16" ht="12" customHeight="1">
      <c r="B134" s="14" t="s">
        <v>219</v>
      </c>
      <c r="C134" s="3">
        <f t="shared" si="12"/>
        <v>221</v>
      </c>
      <c r="D134" s="3">
        <v>98</v>
      </c>
      <c r="E134" s="3">
        <v>123</v>
      </c>
      <c r="H134" s="3">
        <v>1</v>
      </c>
      <c r="I134" s="3">
        <v>19</v>
      </c>
      <c r="J134" s="3">
        <v>2</v>
      </c>
      <c r="L134" s="3">
        <f t="shared" si="13"/>
        <v>186</v>
      </c>
      <c r="N134" s="3">
        <v>35</v>
      </c>
      <c r="P134" s="3">
        <v>23</v>
      </c>
    </row>
    <row r="135" spans="2:16" ht="12" customHeight="1">
      <c r="B135" s="14" t="s">
        <v>187</v>
      </c>
      <c r="C135" s="3">
        <f t="shared" si="12"/>
        <v>778</v>
      </c>
      <c r="D135" s="3">
        <v>392</v>
      </c>
      <c r="E135" s="3">
        <v>386</v>
      </c>
      <c r="G135" s="3">
        <v>3</v>
      </c>
      <c r="H135" s="3">
        <f>21+13+1</f>
        <v>35</v>
      </c>
      <c r="I135" s="3">
        <f>17+12+1</f>
        <v>30</v>
      </c>
      <c r="J135" s="3">
        <v>21</v>
      </c>
      <c r="L135" s="3">
        <f t="shared" si="13"/>
        <v>620</v>
      </c>
      <c r="N135" s="3">
        <f>86+70+2</f>
        <v>158</v>
      </c>
      <c r="P135" s="3">
        <v>7</v>
      </c>
    </row>
    <row r="136" spans="2:16" ht="12" customHeight="1">
      <c r="B136" s="14" t="s">
        <v>73</v>
      </c>
      <c r="C136" s="3">
        <f t="shared" si="12"/>
        <v>79</v>
      </c>
      <c r="D136" s="3">
        <v>25</v>
      </c>
      <c r="E136" s="3">
        <v>54</v>
      </c>
      <c r="G136" s="3">
        <v>1</v>
      </c>
      <c r="H136" s="3">
        <v>1</v>
      </c>
      <c r="I136" s="3">
        <v>2</v>
      </c>
      <c r="L136" s="3">
        <f t="shared" si="13"/>
        <v>59</v>
      </c>
      <c r="N136" s="3">
        <v>20</v>
      </c>
      <c r="P136" s="3">
        <v>1</v>
      </c>
    </row>
    <row r="137" spans="2:14" ht="12" customHeight="1">
      <c r="B137" s="14" t="s">
        <v>74</v>
      </c>
      <c r="C137" s="3">
        <f t="shared" si="12"/>
        <v>77</v>
      </c>
      <c r="D137" s="3">
        <v>22</v>
      </c>
      <c r="E137" s="3">
        <v>55</v>
      </c>
      <c r="H137" s="3">
        <v>4</v>
      </c>
      <c r="I137" s="3">
        <v>3</v>
      </c>
      <c r="J137" s="3">
        <v>3</v>
      </c>
      <c r="L137" s="3">
        <f t="shared" si="13"/>
        <v>68</v>
      </c>
      <c r="N137" s="3">
        <v>9</v>
      </c>
    </row>
    <row r="138" spans="2:12" ht="12" customHeight="1">
      <c r="B138" s="14" t="s">
        <v>118</v>
      </c>
      <c r="C138" s="3">
        <f t="shared" si="12"/>
        <v>1</v>
      </c>
      <c r="D138" s="3">
        <v>1</v>
      </c>
      <c r="E138" s="3">
        <v>0</v>
      </c>
      <c r="L138" s="3">
        <f t="shared" si="13"/>
        <v>1</v>
      </c>
    </row>
    <row r="139" spans="2:16" ht="12" customHeight="1">
      <c r="B139" s="14" t="s">
        <v>75</v>
      </c>
      <c r="C139" s="3">
        <f t="shared" si="12"/>
        <v>91</v>
      </c>
      <c r="D139" s="3">
        <v>43</v>
      </c>
      <c r="E139" s="3">
        <v>48</v>
      </c>
      <c r="G139" s="3">
        <v>1</v>
      </c>
      <c r="H139" s="3">
        <v>6</v>
      </c>
      <c r="I139" s="3">
        <v>4</v>
      </c>
      <c r="J139" s="3">
        <v>2</v>
      </c>
      <c r="L139" s="3">
        <f t="shared" si="13"/>
        <v>59</v>
      </c>
      <c r="N139" s="3">
        <f>16+16</f>
        <v>32</v>
      </c>
      <c r="P139" s="3">
        <v>11</v>
      </c>
    </row>
    <row r="140" spans="2:14" ht="12" customHeight="1">
      <c r="B140" s="14" t="s">
        <v>220</v>
      </c>
      <c r="C140" s="3">
        <f t="shared" si="12"/>
        <v>9</v>
      </c>
      <c r="D140" s="3">
        <v>5</v>
      </c>
      <c r="E140" s="3">
        <v>4</v>
      </c>
      <c r="J140" s="3">
        <v>1</v>
      </c>
      <c r="L140" s="3">
        <f t="shared" si="13"/>
        <v>7</v>
      </c>
      <c r="N140" s="3">
        <v>2</v>
      </c>
    </row>
    <row r="141" spans="2:16" ht="12" customHeight="1">
      <c r="B141" s="14" t="s">
        <v>221</v>
      </c>
      <c r="C141" s="3">
        <f t="shared" si="12"/>
        <v>449</v>
      </c>
      <c r="D141" s="3">
        <v>171</v>
      </c>
      <c r="E141" s="3">
        <v>278</v>
      </c>
      <c r="G141" s="3">
        <v>2</v>
      </c>
      <c r="H141" s="3">
        <v>20</v>
      </c>
      <c r="I141" s="3">
        <f>11+13</f>
        <v>24</v>
      </c>
      <c r="J141" s="3">
        <v>17</v>
      </c>
      <c r="L141" s="3">
        <f t="shared" si="13"/>
        <v>347</v>
      </c>
      <c r="N141" s="3">
        <f>35+67</f>
        <v>102</v>
      </c>
      <c r="P141" s="3">
        <v>6</v>
      </c>
    </row>
    <row r="142" spans="2:16" ht="12" customHeight="1">
      <c r="B142" s="14" t="s">
        <v>76</v>
      </c>
      <c r="C142" s="3">
        <f t="shared" si="12"/>
        <v>11</v>
      </c>
      <c r="D142" s="3">
        <v>10</v>
      </c>
      <c r="E142" s="3">
        <v>1</v>
      </c>
      <c r="I142" s="3">
        <v>1</v>
      </c>
      <c r="L142" s="3">
        <f t="shared" si="13"/>
        <v>5</v>
      </c>
      <c r="N142" s="3">
        <v>6</v>
      </c>
      <c r="P142" s="3">
        <v>4</v>
      </c>
    </row>
    <row r="143" spans="2:14" ht="12" customHeight="1">
      <c r="B143" s="14" t="s">
        <v>222</v>
      </c>
      <c r="C143" s="3">
        <f t="shared" si="12"/>
        <v>3</v>
      </c>
      <c r="D143" s="3">
        <v>2</v>
      </c>
      <c r="E143" s="3">
        <v>1</v>
      </c>
      <c r="L143" s="3">
        <f t="shared" si="13"/>
        <v>2</v>
      </c>
      <c r="N143" s="3">
        <v>1</v>
      </c>
    </row>
    <row r="144" spans="2:16" ht="12" customHeight="1">
      <c r="B144" s="14" t="s">
        <v>77</v>
      </c>
      <c r="C144" s="3">
        <f t="shared" si="12"/>
        <v>105</v>
      </c>
      <c r="D144" s="3">
        <v>67</v>
      </c>
      <c r="E144" s="3">
        <v>38</v>
      </c>
      <c r="H144" s="3">
        <v>5</v>
      </c>
      <c r="I144" s="3">
        <v>8</v>
      </c>
      <c r="L144" s="3">
        <f t="shared" si="13"/>
        <v>76</v>
      </c>
      <c r="N144" s="3">
        <f>18+11</f>
        <v>29</v>
      </c>
      <c r="P144" s="3">
        <v>1</v>
      </c>
    </row>
    <row r="145" spans="2:16" ht="12" customHeight="1">
      <c r="B145" s="14" t="s">
        <v>121</v>
      </c>
      <c r="C145" s="3">
        <f t="shared" si="12"/>
        <v>170</v>
      </c>
      <c r="D145" s="3">
        <v>53</v>
      </c>
      <c r="E145" s="3">
        <v>117</v>
      </c>
      <c r="H145" s="3">
        <v>15</v>
      </c>
      <c r="I145" s="3">
        <v>1</v>
      </c>
      <c r="J145" s="3">
        <v>2</v>
      </c>
      <c r="L145" s="3">
        <f t="shared" si="13"/>
        <v>134</v>
      </c>
      <c r="N145" s="3">
        <f>11+25</f>
        <v>36</v>
      </c>
      <c r="P145" s="3">
        <v>1</v>
      </c>
    </row>
    <row r="146" spans="2:16" ht="12" customHeight="1">
      <c r="B146" s="14" t="s">
        <v>223</v>
      </c>
      <c r="C146" s="3">
        <f aca="true" t="shared" si="14" ref="C146:C185">D146+E146</f>
        <v>194</v>
      </c>
      <c r="D146" s="3">
        <v>181</v>
      </c>
      <c r="E146" s="3">
        <v>13</v>
      </c>
      <c r="H146" s="3">
        <v>3</v>
      </c>
      <c r="I146" s="3">
        <v>11</v>
      </c>
      <c r="J146" s="3">
        <v>2</v>
      </c>
      <c r="L146" s="3">
        <f aca="true" t="shared" si="15" ref="L146:L185">(C146-N146)</f>
        <v>134</v>
      </c>
      <c r="N146" s="3">
        <f>58+2</f>
        <v>60</v>
      </c>
      <c r="P146" s="3">
        <v>25</v>
      </c>
    </row>
    <row r="147" spans="2:12" ht="12" customHeight="1">
      <c r="B147" s="14" t="s">
        <v>79</v>
      </c>
      <c r="C147" s="3">
        <f t="shared" si="14"/>
        <v>2</v>
      </c>
      <c r="D147" s="3">
        <v>2</v>
      </c>
      <c r="E147" s="3">
        <v>0</v>
      </c>
      <c r="L147" s="3">
        <f t="shared" si="15"/>
        <v>2</v>
      </c>
    </row>
    <row r="148" spans="2:16" ht="12" customHeight="1">
      <c r="B148" s="14" t="s">
        <v>224</v>
      </c>
      <c r="C148" s="3">
        <f t="shared" si="14"/>
        <v>72</v>
      </c>
      <c r="D148" s="3">
        <v>57</v>
      </c>
      <c r="E148" s="3">
        <v>15</v>
      </c>
      <c r="H148" s="3">
        <v>3</v>
      </c>
      <c r="I148" s="3">
        <v>1</v>
      </c>
      <c r="J148" s="3">
        <v>1</v>
      </c>
      <c r="L148" s="3">
        <f t="shared" si="15"/>
        <v>49</v>
      </c>
      <c r="N148" s="3">
        <f>18+5</f>
        <v>23</v>
      </c>
      <c r="P148" s="3">
        <v>6</v>
      </c>
    </row>
    <row r="149" spans="2:16" ht="12" customHeight="1">
      <c r="B149" s="14" t="s">
        <v>80</v>
      </c>
      <c r="C149" s="3">
        <f t="shared" si="14"/>
        <v>262</v>
      </c>
      <c r="D149" s="3">
        <v>87</v>
      </c>
      <c r="E149" s="3">
        <v>175</v>
      </c>
      <c r="G149" s="3">
        <v>2</v>
      </c>
      <c r="H149" s="3">
        <v>9</v>
      </c>
      <c r="I149" s="3">
        <v>6</v>
      </c>
      <c r="J149" s="3">
        <v>7</v>
      </c>
      <c r="L149" s="3">
        <f t="shared" si="15"/>
        <v>220</v>
      </c>
      <c r="N149" s="3">
        <f>13+29</f>
        <v>42</v>
      </c>
      <c r="P149" s="3">
        <v>1</v>
      </c>
    </row>
    <row r="150" spans="2:14" ht="12" customHeight="1">
      <c r="B150" s="14" t="s">
        <v>225</v>
      </c>
      <c r="C150" s="3">
        <f t="shared" si="14"/>
        <v>23</v>
      </c>
      <c r="D150" s="3">
        <v>14</v>
      </c>
      <c r="E150" s="3">
        <v>9</v>
      </c>
      <c r="L150" s="3">
        <f t="shared" si="15"/>
        <v>17</v>
      </c>
      <c r="N150" s="3">
        <f>4+2</f>
        <v>6</v>
      </c>
    </row>
    <row r="151" spans="2:14" ht="12" customHeight="1">
      <c r="B151" s="14" t="s">
        <v>81</v>
      </c>
      <c r="C151" s="3">
        <f t="shared" si="14"/>
        <v>14</v>
      </c>
      <c r="D151" s="3">
        <v>1</v>
      </c>
      <c r="E151" s="3">
        <v>13</v>
      </c>
      <c r="I151" s="3">
        <v>1</v>
      </c>
      <c r="L151" s="3">
        <f t="shared" si="15"/>
        <v>13</v>
      </c>
      <c r="N151" s="3">
        <v>1</v>
      </c>
    </row>
    <row r="152" spans="2:16" ht="12" customHeight="1">
      <c r="B152" s="14" t="s">
        <v>82</v>
      </c>
      <c r="C152" s="3">
        <f t="shared" si="14"/>
        <v>37</v>
      </c>
      <c r="D152" s="3">
        <v>12</v>
      </c>
      <c r="E152" s="3">
        <v>25</v>
      </c>
      <c r="H152" s="3">
        <v>2</v>
      </c>
      <c r="J152" s="3">
        <v>1</v>
      </c>
      <c r="L152" s="3">
        <f t="shared" si="15"/>
        <v>20</v>
      </c>
      <c r="N152" s="3">
        <f>5+12</f>
        <v>17</v>
      </c>
      <c r="P152" s="3">
        <v>2</v>
      </c>
    </row>
    <row r="153" spans="2:14" ht="12" customHeight="1">
      <c r="B153" s="14" t="s">
        <v>83</v>
      </c>
      <c r="C153" s="3">
        <f t="shared" si="14"/>
        <v>20</v>
      </c>
      <c r="D153" s="3">
        <v>13</v>
      </c>
      <c r="E153" s="3">
        <v>7</v>
      </c>
      <c r="J153" s="3">
        <v>1</v>
      </c>
      <c r="L153" s="3">
        <f t="shared" si="15"/>
        <v>16</v>
      </c>
      <c r="N153" s="3">
        <v>4</v>
      </c>
    </row>
    <row r="154" spans="2:12" ht="12" customHeight="1">
      <c r="B154" s="14" t="s">
        <v>84</v>
      </c>
      <c r="C154" s="3">
        <f t="shared" si="14"/>
        <v>9</v>
      </c>
      <c r="D154" s="3">
        <v>3</v>
      </c>
      <c r="E154" s="3">
        <v>6</v>
      </c>
      <c r="I154" s="3">
        <v>1</v>
      </c>
      <c r="L154" s="3">
        <f t="shared" si="15"/>
        <v>9</v>
      </c>
    </row>
    <row r="155" spans="2:14" ht="12" customHeight="1">
      <c r="B155" s="14" t="s">
        <v>85</v>
      </c>
      <c r="C155" s="3">
        <f t="shared" si="14"/>
        <v>185</v>
      </c>
      <c r="D155" s="3">
        <v>139</v>
      </c>
      <c r="E155" s="3">
        <v>46</v>
      </c>
      <c r="H155" s="3">
        <v>6</v>
      </c>
      <c r="I155" s="3">
        <v>4</v>
      </c>
      <c r="J155" s="3">
        <v>6</v>
      </c>
      <c r="L155" s="3">
        <f t="shared" si="15"/>
        <v>142</v>
      </c>
      <c r="N155" s="3">
        <f>32+11</f>
        <v>43</v>
      </c>
    </row>
    <row r="156" spans="2:12" ht="12" customHeight="1">
      <c r="B156" s="14" t="s">
        <v>86</v>
      </c>
      <c r="C156" s="3">
        <f t="shared" si="14"/>
        <v>2</v>
      </c>
      <c r="D156" s="3">
        <v>2</v>
      </c>
      <c r="E156" s="3">
        <v>0</v>
      </c>
      <c r="L156" s="3">
        <f t="shared" si="15"/>
        <v>2</v>
      </c>
    </row>
    <row r="157" spans="2:16" ht="12" customHeight="1">
      <c r="B157" s="14" t="s">
        <v>226</v>
      </c>
      <c r="C157" s="3">
        <f t="shared" si="14"/>
        <v>187</v>
      </c>
      <c r="D157" s="3">
        <v>74</v>
      </c>
      <c r="E157" s="3">
        <v>113</v>
      </c>
      <c r="G157" s="3">
        <v>1</v>
      </c>
      <c r="H157" s="3">
        <v>4</v>
      </c>
      <c r="I157" s="3">
        <v>8</v>
      </c>
      <c r="J157" s="3">
        <v>2</v>
      </c>
      <c r="L157" s="3">
        <f t="shared" si="15"/>
        <v>151</v>
      </c>
      <c r="N157" s="3">
        <f>18+18</f>
        <v>36</v>
      </c>
      <c r="P157" s="3">
        <v>2</v>
      </c>
    </row>
    <row r="158" spans="2:14" ht="12" customHeight="1">
      <c r="B158" s="14" t="s">
        <v>88</v>
      </c>
      <c r="C158" s="3">
        <f t="shared" si="14"/>
        <v>121</v>
      </c>
      <c r="D158" s="3">
        <v>59</v>
      </c>
      <c r="E158" s="3">
        <v>62</v>
      </c>
      <c r="H158" s="3">
        <v>4</v>
      </c>
      <c r="I158" s="3">
        <v>2</v>
      </c>
      <c r="J158" s="3">
        <v>1</v>
      </c>
      <c r="L158" s="3">
        <f t="shared" si="15"/>
        <v>111</v>
      </c>
      <c r="N158" s="3">
        <v>10</v>
      </c>
    </row>
    <row r="159" spans="2:14" ht="12" customHeight="1">
      <c r="B159" s="14" t="s">
        <v>89</v>
      </c>
      <c r="C159" s="3">
        <f t="shared" si="14"/>
        <v>16</v>
      </c>
      <c r="D159" s="3">
        <v>9</v>
      </c>
      <c r="E159" s="3">
        <v>7</v>
      </c>
      <c r="I159" s="3">
        <v>1</v>
      </c>
      <c r="J159" s="3">
        <v>1</v>
      </c>
      <c r="L159" s="3">
        <f t="shared" si="15"/>
        <v>14</v>
      </c>
      <c r="N159" s="3">
        <v>2</v>
      </c>
    </row>
    <row r="160" spans="2:16" ht="12" customHeight="1">
      <c r="B160" s="14" t="s">
        <v>90</v>
      </c>
      <c r="C160" s="3">
        <f t="shared" si="14"/>
        <v>117</v>
      </c>
      <c r="D160" s="3">
        <v>69</v>
      </c>
      <c r="E160" s="3">
        <v>48</v>
      </c>
      <c r="H160" s="3">
        <v>1</v>
      </c>
      <c r="I160" s="3">
        <v>6</v>
      </c>
      <c r="J160" s="3">
        <v>5</v>
      </c>
      <c r="L160" s="3">
        <f t="shared" si="15"/>
        <v>85</v>
      </c>
      <c r="N160" s="3">
        <f>16+16</f>
        <v>32</v>
      </c>
      <c r="P160" s="3">
        <v>6</v>
      </c>
    </row>
    <row r="161" spans="2:14" ht="12" customHeight="1">
      <c r="B161" s="14" t="s">
        <v>91</v>
      </c>
      <c r="C161" s="3">
        <f t="shared" si="14"/>
        <v>116</v>
      </c>
      <c r="D161" s="3">
        <v>73</v>
      </c>
      <c r="E161" s="3">
        <v>43</v>
      </c>
      <c r="H161" s="3">
        <v>2</v>
      </c>
      <c r="I161" s="3">
        <v>3</v>
      </c>
      <c r="J161" s="3">
        <v>3</v>
      </c>
      <c r="L161" s="3">
        <f t="shared" si="15"/>
        <v>63</v>
      </c>
      <c r="N161" s="3">
        <f>30+23</f>
        <v>53</v>
      </c>
    </row>
    <row r="162" spans="2:14" ht="12" customHeight="1">
      <c r="B162" s="14" t="s">
        <v>92</v>
      </c>
      <c r="C162" s="3">
        <f t="shared" si="14"/>
        <v>102</v>
      </c>
      <c r="D162" s="3">
        <v>50</v>
      </c>
      <c r="E162" s="3">
        <v>52</v>
      </c>
      <c r="I162" s="3">
        <v>1</v>
      </c>
      <c r="J162" s="3">
        <v>2</v>
      </c>
      <c r="L162" s="3">
        <f t="shared" si="15"/>
        <v>93</v>
      </c>
      <c r="N162" s="3">
        <v>9</v>
      </c>
    </row>
    <row r="163" spans="2:12" ht="12" customHeight="1">
      <c r="B163" s="14" t="s">
        <v>93</v>
      </c>
      <c r="C163" s="3">
        <f t="shared" si="14"/>
        <v>15</v>
      </c>
      <c r="D163" s="3">
        <v>9</v>
      </c>
      <c r="E163" s="3">
        <v>6</v>
      </c>
      <c r="J163" s="3">
        <v>1</v>
      </c>
      <c r="L163" s="3">
        <f t="shared" si="15"/>
        <v>15</v>
      </c>
    </row>
    <row r="164" spans="2:16" ht="12" customHeight="1">
      <c r="B164" s="14" t="s">
        <v>94</v>
      </c>
      <c r="C164" s="3">
        <f t="shared" si="14"/>
        <v>53</v>
      </c>
      <c r="D164" s="3">
        <v>16</v>
      </c>
      <c r="E164" s="3">
        <v>37</v>
      </c>
      <c r="H164" s="3">
        <v>3</v>
      </c>
      <c r="I164" s="3">
        <v>2</v>
      </c>
      <c r="L164" s="3">
        <f t="shared" si="15"/>
        <v>46</v>
      </c>
      <c r="N164" s="3">
        <v>7</v>
      </c>
      <c r="P164" s="3">
        <v>1</v>
      </c>
    </row>
    <row r="165" spans="2:14" ht="12" customHeight="1">
      <c r="B165" s="14" t="s">
        <v>95</v>
      </c>
      <c r="C165" s="3">
        <f t="shared" si="14"/>
        <v>43</v>
      </c>
      <c r="D165" s="3">
        <v>36</v>
      </c>
      <c r="E165" s="3">
        <v>7</v>
      </c>
      <c r="H165" s="3">
        <v>1</v>
      </c>
      <c r="I165" s="3">
        <v>2</v>
      </c>
      <c r="J165" s="3">
        <v>2</v>
      </c>
      <c r="L165" s="3">
        <f t="shared" si="15"/>
        <v>37</v>
      </c>
      <c r="N165" s="3">
        <v>6</v>
      </c>
    </row>
    <row r="166" spans="2:14" ht="12" customHeight="1">
      <c r="B166" s="14" t="s">
        <v>96</v>
      </c>
      <c r="C166" s="3">
        <f t="shared" si="14"/>
        <v>61</v>
      </c>
      <c r="D166" s="3">
        <v>48</v>
      </c>
      <c r="E166" s="3">
        <v>13</v>
      </c>
      <c r="I166" s="3">
        <v>2</v>
      </c>
      <c r="J166" s="3">
        <v>2</v>
      </c>
      <c r="L166" s="3">
        <f t="shared" si="15"/>
        <v>47</v>
      </c>
      <c r="N166" s="3">
        <v>14</v>
      </c>
    </row>
    <row r="167" spans="2:16" ht="12" customHeight="1">
      <c r="B167" s="14" t="s">
        <v>97</v>
      </c>
      <c r="C167" s="3">
        <f t="shared" si="14"/>
        <v>301</v>
      </c>
      <c r="D167" s="3">
        <v>160</v>
      </c>
      <c r="E167" s="3">
        <v>141</v>
      </c>
      <c r="H167" s="3">
        <v>10</v>
      </c>
      <c r="I167" s="3">
        <v>8</v>
      </c>
      <c r="J167" s="3">
        <v>8</v>
      </c>
      <c r="L167" s="3">
        <f t="shared" si="15"/>
        <v>242</v>
      </c>
      <c r="N167" s="3">
        <f>28+31</f>
        <v>59</v>
      </c>
      <c r="P167" s="3">
        <v>4</v>
      </c>
    </row>
    <row r="168" spans="2:16" ht="12" customHeight="1">
      <c r="B168" s="14" t="s">
        <v>98</v>
      </c>
      <c r="C168" s="3">
        <f t="shared" si="14"/>
        <v>122</v>
      </c>
      <c r="D168" s="3">
        <v>43</v>
      </c>
      <c r="E168" s="3">
        <v>79</v>
      </c>
      <c r="H168" s="3">
        <v>3</v>
      </c>
      <c r="I168" s="3">
        <v>1</v>
      </c>
      <c r="J168" s="3">
        <v>7</v>
      </c>
      <c r="L168" s="3">
        <f t="shared" si="15"/>
        <v>87</v>
      </c>
      <c r="N168" s="3">
        <f>11+24</f>
        <v>35</v>
      </c>
      <c r="P168" s="3">
        <v>3</v>
      </c>
    </row>
    <row r="169" spans="2:14" ht="12" customHeight="1">
      <c r="B169" s="14" t="s">
        <v>99</v>
      </c>
      <c r="C169" s="3">
        <f t="shared" si="14"/>
        <v>27</v>
      </c>
      <c r="D169" s="3">
        <v>8</v>
      </c>
      <c r="E169" s="3">
        <v>19</v>
      </c>
      <c r="H169" s="3">
        <v>1</v>
      </c>
      <c r="I169" s="3">
        <v>2</v>
      </c>
      <c r="L169" s="3">
        <f t="shared" si="15"/>
        <v>22</v>
      </c>
      <c r="N169" s="3">
        <v>5</v>
      </c>
    </row>
    <row r="170" spans="2:16" ht="12" customHeight="1">
      <c r="B170" s="14" t="s">
        <v>123</v>
      </c>
      <c r="C170" s="3">
        <f t="shared" si="14"/>
        <v>164</v>
      </c>
      <c r="D170" s="3">
        <v>158</v>
      </c>
      <c r="E170" s="3">
        <v>6</v>
      </c>
      <c r="G170" s="3">
        <v>1</v>
      </c>
      <c r="H170" s="3">
        <v>4</v>
      </c>
      <c r="I170" s="3">
        <v>11</v>
      </c>
      <c r="J170" s="3">
        <v>6</v>
      </c>
      <c r="L170" s="3">
        <f t="shared" si="15"/>
        <v>122</v>
      </c>
      <c r="N170" s="3">
        <f>39+3</f>
        <v>42</v>
      </c>
      <c r="P170" s="3">
        <v>14</v>
      </c>
    </row>
    <row r="171" spans="2:16" ht="12" customHeight="1">
      <c r="B171" s="14" t="s">
        <v>227</v>
      </c>
      <c r="C171" s="3">
        <f t="shared" si="14"/>
        <v>331</v>
      </c>
      <c r="D171" s="3">
        <v>119</v>
      </c>
      <c r="E171" s="3">
        <v>212</v>
      </c>
      <c r="G171" s="3">
        <v>1</v>
      </c>
      <c r="H171" s="3">
        <v>15</v>
      </c>
      <c r="I171" s="3">
        <v>4</v>
      </c>
      <c r="J171" s="3">
        <v>7</v>
      </c>
      <c r="L171" s="3">
        <f t="shared" si="15"/>
        <v>270</v>
      </c>
      <c r="N171" s="3">
        <f>19+42</f>
        <v>61</v>
      </c>
      <c r="P171" s="3">
        <v>2</v>
      </c>
    </row>
    <row r="172" spans="2:16" ht="12" customHeight="1">
      <c r="B172" s="14" t="s">
        <v>228</v>
      </c>
      <c r="C172" s="3">
        <f t="shared" si="14"/>
        <v>52</v>
      </c>
      <c r="D172" s="3">
        <v>24</v>
      </c>
      <c r="E172" s="3">
        <v>28</v>
      </c>
      <c r="H172" s="3">
        <v>6</v>
      </c>
      <c r="I172" s="3">
        <v>2</v>
      </c>
      <c r="J172" s="3">
        <v>4</v>
      </c>
      <c r="L172" s="3">
        <f t="shared" si="15"/>
        <v>38</v>
      </c>
      <c r="N172" s="3">
        <v>14</v>
      </c>
      <c r="P172" s="3">
        <v>4</v>
      </c>
    </row>
    <row r="173" spans="2:14" ht="12" customHeight="1">
      <c r="B173" s="14" t="s">
        <v>100</v>
      </c>
      <c r="C173" s="3">
        <f t="shared" si="14"/>
        <v>16</v>
      </c>
      <c r="D173" s="3">
        <v>7</v>
      </c>
      <c r="E173" s="3">
        <v>9</v>
      </c>
      <c r="H173" s="3">
        <v>3</v>
      </c>
      <c r="I173" s="3">
        <v>1</v>
      </c>
      <c r="L173" s="3">
        <f t="shared" si="15"/>
        <v>11</v>
      </c>
      <c r="N173" s="3">
        <v>5</v>
      </c>
    </row>
    <row r="174" spans="2:16" ht="12" customHeight="1">
      <c r="B174" s="14" t="s">
        <v>229</v>
      </c>
      <c r="C174" s="3">
        <f t="shared" si="14"/>
        <v>87</v>
      </c>
      <c r="D174" s="3">
        <v>25</v>
      </c>
      <c r="E174" s="3">
        <v>62</v>
      </c>
      <c r="H174" s="3">
        <v>7</v>
      </c>
      <c r="I174" s="3">
        <v>5</v>
      </c>
      <c r="J174" s="3">
        <v>4</v>
      </c>
      <c r="L174" s="3">
        <f t="shared" si="15"/>
        <v>72</v>
      </c>
      <c r="N174" s="3">
        <f>3+12</f>
        <v>15</v>
      </c>
      <c r="P174" s="3">
        <v>2</v>
      </c>
    </row>
    <row r="175" spans="2:16" ht="12" customHeight="1">
      <c r="B175" s="14" t="s">
        <v>101</v>
      </c>
      <c r="C175" s="3">
        <f t="shared" si="14"/>
        <v>680</v>
      </c>
      <c r="D175" s="3">
        <v>220</v>
      </c>
      <c r="E175" s="3">
        <v>460</v>
      </c>
      <c r="G175" s="3">
        <v>1</v>
      </c>
      <c r="H175" s="3">
        <v>25</v>
      </c>
      <c r="I175" s="3">
        <v>21</v>
      </c>
      <c r="J175" s="3">
        <v>18</v>
      </c>
      <c r="L175" s="3">
        <f t="shared" si="15"/>
        <v>575</v>
      </c>
      <c r="N175" s="3">
        <f>26+79</f>
        <v>105</v>
      </c>
      <c r="P175" s="3">
        <v>8</v>
      </c>
    </row>
    <row r="176" spans="2:12" ht="12" customHeight="1">
      <c r="B176" s="14" t="s">
        <v>102</v>
      </c>
      <c r="C176" s="3">
        <f t="shared" si="14"/>
        <v>13</v>
      </c>
      <c r="D176" s="3">
        <v>5</v>
      </c>
      <c r="E176" s="3">
        <v>8</v>
      </c>
      <c r="H176" s="3">
        <v>1</v>
      </c>
      <c r="L176" s="3">
        <f t="shared" si="15"/>
        <v>13</v>
      </c>
    </row>
    <row r="177" spans="2:12" ht="12.75">
      <c r="B177" s="14" t="s">
        <v>103</v>
      </c>
      <c r="C177" s="3">
        <f t="shared" si="14"/>
        <v>0</v>
      </c>
      <c r="D177" s="3">
        <v>0</v>
      </c>
      <c r="E177" s="3">
        <v>0</v>
      </c>
      <c r="L177" s="3">
        <f t="shared" si="15"/>
        <v>0</v>
      </c>
    </row>
    <row r="178" spans="2:12" ht="12" customHeight="1">
      <c r="B178" s="14" t="s">
        <v>122</v>
      </c>
      <c r="C178" s="3">
        <f t="shared" si="14"/>
        <v>3</v>
      </c>
      <c r="D178" s="3">
        <v>2</v>
      </c>
      <c r="E178" s="3">
        <v>1</v>
      </c>
      <c r="L178" s="3">
        <f t="shared" si="15"/>
        <v>3</v>
      </c>
    </row>
    <row r="179" spans="2:16" ht="12" customHeight="1">
      <c r="B179" s="14" t="s">
        <v>230</v>
      </c>
      <c r="C179" s="3">
        <f t="shared" si="14"/>
        <v>193</v>
      </c>
      <c r="D179" s="3">
        <v>78</v>
      </c>
      <c r="E179" s="3">
        <v>115</v>
      </c>
      <c r="H179" s="3">
        <f>14+8</f>
        <v>22</v>
      </c>
      <c r="I179" s="3">
        <v>6</v>
      </c>
      <c r="J179" s="3">
        <v>2</v>
      </c>
      <c r="L179" s="3">
        <f t="shared" si="15"/>
        <v>161</v>
      </c>
      <c r="N179" s="3">
        <f>20+12</f>
        <v>32</v>
      </c>
      <c r="P179" s="3">
        <v>1</v>
      </c>
    </row>
    <row r="180" spans="2:14" ht="12" customHeight="1">
      <c r="B180" s="14" t="s">
        <v>104</v>
      </c>
      <c r="C180" s="3">
        <f t="shared" si="14"/>
        <v>81</v>
      </c>
      <c r="D180" s="3">
        <v>21</v>
      </c>
      <c r="E180" s="3">
        <v>60</v>
      </c>
      <c r="H180" s="3">
        <v>4</v>
      </c>
      <c r="J180" s="3">
        <v>11</v>
      </c>
      <c r="L180" s="3">
        <f t="shared" si="15"/>
        <v>71</v>
      </c>
      <c r="N180" s="3">
        <v>10</v>
      </c>
    </row>
    <row r="181" spans="2:14" ht="12" customHeight="1">
      <c r="B181" s="14" t="s">
        <v>105</v>
      </c>
      <c r="C181" s="3">
        <f t="shared" si="14"/>
        <v>17</v>
      </c>
      <c r="D181" s="3">
        <v>5</v>
      </c>
      <c r="E181" s="3">
        <v>12</v>
      </c>
      <c r="H181" s="3">
        <v>1</v>
      </c>
      <c r="I181" s="3">
        <v>1</v>
      </c>
      <c r="L181" s="3">
        <f t="shared" si="15"/>
        <v>12</v>
      </c>
      <c r="N181" s="3">
        <v>5</v>
      </c>
    </row>
    <row r="182" spans="2:16" ht="12" customHeight="1">
      <c r="B182" s="14" t="s">
        <v>106</v>
      </c>
      <c r="C182" s="3">
        <f t="shared" si="14"/>
        <v>29</v>
      </c>
      <c r="D182" s="3">
        <v>18</v>
      </c>
      <c r="E182" s="3">
        <v>11</v>
      </c>
      <c r="I182" s="3">
        <v>3</v>
      </c>
      <c r="L182" s="3">
        <f t="shared" si="15"/>
        <v>14</v>
      </c>
      <c r="N182" s="3">
        <f>10+5</f>
        <v>15</v>
      </c>
      <c r="P182" s="3">
        <v>3</v>
      </c>
    </row>
    <row r="183" spans="2:16" ht="12" customHeight="1">
      <c r="B183" s="14" t="s">
        <v>124</v>
      </c>
      <c r="C183" s="3">
        <f t="shared" si="14"/>
        <v>15</v>
      </c>
      <c r="D183" s="3">
        <v>8</v>
      </c>
      <c r="E183" s="3">
        <v>7</v>
      </c>
      <c r="L183" s="3">
        <f t="shared" si="15"/>
        <v>12</v>
      </c>
      <c r="N183" s="3">
        <v>3</v>
      </c>
      <c r="P183" s="3">
        <v>1</v>
      </c>
    </row>
    <row r="184" spans="2:16" ht="12" customHeight="1">
      <c r="B184" s="14" t="s">
        <v>107</v>
      </c>
      <c r="C184" s="3">
        <f t="shared" si="14"/>
        <v>7</v>
      </c>
      <c r="D184" s="3">
        <v>0</v>
      </c>
      <c r="E184" s="3">
        <v>7</v>
      </c>
      <c r="L184" s="3">
        <f t="shared" si="15"/>
        <v>4</v>
      </c>
      <c r="N184" s="3">
        <v>3</v>
      </c>
      <c r="P184" s="3">
        <v>1</v>
      </c>
    </row>
    <row r="185" spans="2:14" ht="12" customHeight="1">
      <c r="B185" s="14" t="s">
        <v>231</v>
      </c>
      <c r="C185" s="3">
        <f t="shared" si="14"/>
        <v>34</v>
      </c>
      <c r="D185" s="3">
        <v>12</v>
      </c>
      <c r="E185" s="3">
        <v>22</v>
      </c>
      <c r="H185" s="3">
        <v>1</v>
      </c>
      <c r="I185" s="3">
        <v>1</v>
      </c>
      <c r="L185" s="3">
        <f t="shared" si="15"/>
        <v>28</v>
      </c>
      <c r="N185" s="3">
        <v>6</v>
      </c>
    </row>
    <row r="187" spans="1:16" ht="12.75">
      <c r="A187" s="9" t="s">
        <v>4</v>
      </c>
      <c r="C187" s="3">
        <f>SUM(C133:C186)</f>
        <v>5853</v>
      </c>
      <c r="D187" s="3">
        <f>SUM(D133:D186)</f>
        <v>2779</v>
      </c>
      <c r="E187" s="3">
        <f aca="true" t="shared" si="16" ref="E187:J187">SUM(E133:E185)</f>
        <v>3074</v>
      </c>
      <c r="F187" s="3">
        <f t="shared" si="16"/>
        <v>0</v>
      </c>
      <c r="G187" s="3">
        <f t="shared" si="16"/>
        <v>13</v>
      </c>
      <c r="H187" s="3">
        <f t="shared" si="16"/>
        <v>228</v>
      </c>
      <c r="I187" s="3">
        <f t="shared" si="16"/>
        <v>210</v>
      </c>
      <c r="J187" s="3">
        <f t="shared" si="16"/>
        <v>153</v>
      </c>
      <c r="L187" s="3">
        <f>SUM(L133:L186)</f>
        <v>4608</v>
      </c>
      <c r="N187" s="3">
        <f>SUM(N133:N185)</f>
        <v>1245</v>
      </c>
      <c r="P187" s="3">
        <f>SUM(P133:P185)</f>
        <v>174</v>
      </c>
    </row>
    <row r="190" spans="1:16" ht="12.75">
      <c r="A190" s="2" t="s">
        <v>188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2" spans="8:16" ht="12.75">
      <c r="H192" s="4" t="s">
        <v>1</v>
      </c>
      <c r="N192" s="5" t="s">
        <v>2</v>
      </c>
      <c r="P192" s="5" t="s">
        <v>3</v>
      </c>
    </row>
    <row r="193" spans="3:16" ht="12.75">
      <c r="C193" s="7" t="s">
        <v>4</v>
      </c>
      <c r="D193" s="7" t="s">
        <v>5</v>
      </c>
      <c r="E193" s="7" t="s">
        <v>6</v>
      </c>
      <c r="F193" s="6"/>
      <c r="G193" s="7" t="s">
        <v>7</v>
      </c>
      <c r="H193" s="7" t="s">
        <v>8</v>
      </c>
      <c r="I193" s="7" t="s">
        <v>9</v>
      </c>
      <c r="J193" s="7" t="s">
        <v>10</v>
      </c>
      <c r="K193" s="6"/>
      <c r="L193" s="8" t="s">
        <v>11</v>
      </c>
      <c r="M193" s="6"/>
      <c r="N193" s="8" t="s">
        <v>12</v>
      </c>
      <c r="O193" s="6"/>
      <c r="P193" s="8" t="s">
        <v>13</v>
      </c>
    </row>
    <row r="195" spans="1:16" ht="12.75">
      <c r="A195" s="9" t="s">
        <v>111</v>
      </c>
      <c r="C195" s="3">
        <f>C38+C59+C78+C100+C124+C187</f>
        <v>20732</v>
      </c>
      <c r="D195" s="3">
        <f aca="true" t="shared" si="17" ref="D195:P195">D38+D59+D78+D100+D124+D187</f>
        <v>11708</v>
      </c>
      <c r="E195" s="3">
        <f t="shared" si="17"/>
        <v>9024</v>
      </c>
      <c r="F195" s="3">
        <f t="shared" si="17"/>
        <v>0</v>
      </c>
      <c r="G195" s="3">
        <f t="shared" si="17"/>
        <v>61</v>
      </c>
      <c r="H195" s="3">
        <f t="shared" si="17"/>
        <v>603</v>
      </c>
      <c r="I195" s="3">
        <f t="shared" si="17"/>
        <v>692</v>
      </c>
      <c r="J195" s="3">
        <f t="shared" si="17"/>
        <v>470</v>
      </c>
      <c r="K195" s="3">
        <f t="shared" si="17"/>
        <v>0</v>
      </c>
      <c r="L195" s="3">
        <f t="shared" si="17"/>
        <v>15984</v>
      </c>
      <c r="N195" s="3">
        <f t="shared" si="17"/>
        <v>4748</v>
      </c>
      <c r="P195" s="3">
        <f t="shared" si="17"/>
        <v>645</v>
      </c>
    </row>
    <row r="202" spans="1:3" ht="12.75">
      <c r="A202" s="9" t="s">
        <v>112</v>
      </c>
      <c r="B202" s="11"/>
      <c r="C202" s="11"/>
    </row>
    <row r="203" spans="2:3" ht="12.75">
      <c r="B203" s="9" t="s">
        <v>113</v>
      </c>
      <c r="C203" s="11"/>
    </row>
    <row r="204" spans="2:3" ht="12.75">
      <c r="B204" s="9" t="s">
        <v>114</v>
      </c>
      <c r="C204" s="11"/>
    </row>
    <row r="205" spans="2:3" ht="12.75">
      <c r="B205" s="9" t="s">
        <v>115</v>
      </c>
      <c r="C205" s="11"/>
    </row>
    <row r="206" spans="2:3" ht="12.75">
      <c r="B206" s="9" t="s">
        <v>116</v>
      </c>
      <c r="C206" s="11"/>
    </row>
    <row r="207" spans="2:3" ht="12.75">
      <c r="B207" s="11"/>
      <c r="C207" s="11"/>
    </row>
    <row r="208" spans="1:3" ht="12.75">
      <c r="A208" s="9" t="s">
        <v>117</v>
      </c>
      <c r="B208" s="11"/>
      <c r="C208" s="11"/>
    </row>
    <row r="210" ht="12.75">
      <c r="A210" s="16"/>
    </row>
    <row r="211" ht="12.75">
      <c r="A211" s="17"/>
    </row>
  </sheetData>
  <mergeCells count="1">
    <mergeCell ref="A3:P3"/>
  </mergeCells>
  <printOptions horizontalCentered="1"/>
  <pageMargins left="0.4" right="0.4" top="0.75" bottom="0.5" header="0.5" footer="0.5"/>
  <pageSetup fitToHeight="0" horizontalDpi="300" verticalDpi="300" orientation="portrait" scale="95" r:id="rId1"/>
  <rowBreaks count="4" manualBreakCount="4">
    <brk id="43" max="16" man="1"/>
    <brk id="81" max="16" man="1"/>
    <brk id="128" max="16" man="1"/>
    <brk id="18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6"/>
  <sheetViews>
    <sheetView showGridLines="0" tabSelected="1" zoomScaleSheetLayoutView="100" workbookViewId="0" topLeftCell="A1">
      <selection activeCell="D5" sqref="D5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108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2:5" ht="12" customHeight="1">
      <c r="B7" s="9" t="s">
        <v>109</v>
      </c>
      <c r="C7" s="3">
        <f>D7+E7</f>
        <v>0</v>
      </c>
      <c r="D7" s="3">
        <v>0</v>
      </c>
      <c r="E7" s="3">
        <v>0</v>
      </c>
    </row>
    <row r="8" spans="2:16" ht="12" customHeight="1">
      <c r="B8" s="9" t="s">
        <v>110</v>
      </c>
      <c r="C8" s="3">
        <f>D8+E8</f>
        <v>431</v>
      </c>
      <c r="D8" s="3">
        <v>108</v>
      </c>
      <c r="E8" s="3">
        <v>323</v>
      </c>
      <c r="H8" s="3">
        <v>1</v>
      </c>
      <c r="I8" s="3">
        <v>4</v>
      </c>
      <c r="J8" s="3">
        <v>2</v>
      </c>
      <c r="L8" s="3">
        <f>(C8-N8)</f>
        <v>264</v>
      </c>
      <c r="N8" s="3">
        <v>167</v>
      </c>
      <c r="P8" s="3">
        <v>2</v>
      </c>
    </row>
    <row r="10" spans="1:16" ht="12.75">
      <c r="A10" s="9" t="s">
        <v>4</v>
      </c>
      <c r="C10" s="3">
        <f>SUM(C7:C8)</f>
        <v>431</v>
      </c>
      <c r="D10" s="3">
        <f>SUM(D7:D8)</f>
        <v>108</v>
      </c>
      <c r="E10" s="3">
        <f>SUM(E7:E8)</f>
        <v>323</v>
      </c>
      <c r="G10" s="3">
        <f>SUM(G7:G8)</f>
        <v>0</v>
      </c>
      <c r="H10" s="3">
        <f>SUM(H7:H8)</f>
        <v>1</v>
      </c>
      <c r="I10" s="3">
        <f>SUM(I7:I8)</f>
        <v>4</v>
      </c>
      <c r="J10" s="3">
        <f>SUM(J7:J8)</f>
        <v>2</v>
      </c>
      <c r="L10" s="3">
        <f>SUM(L7:L8)</f>
        <v>264</v>
      </c>
      <c r="N10" s="3">
        <f>SUM(N7:N8)</f>
        <v>167</v>
      </c>
      <c r="P10" s="3">
        <f>SUM(P7:P8)</f>
        <v>2</v>
      </c>
    </row>
    <row r="20" spans="1:3" ht="12.75">
      <c r="A20" s="9" t="s">
        <v>112</v>
      </c>
      <c r="B20" s="11"/>
      <c r="C20" s="11"/>
    </row>
    <row r="21" spans="2:3" ht="12.75">
      <c r="B21" s="9" t="s">
        <v>113</v>
      </c>
      <c r="C21" s="11"/>
    </row>
    <row r="22" spans="2:3" ht="12.75">
      <c r="B22" s="9" t="s">
        <v>114</v>
      </c>
      <c r="C22" s="11"/>
    </row>
    <row r="23" spans="2:3" ht="12.75">
      <c r="B23" s="9" t="s">
        <v>115</v>
      </c>
      <c r="C23" s="11"/>
    </row>
    <row r="24" spans="2:3" ht="12.75">
      <c r="B24" s="9" t="s">
        <v>116</v>
      </c>
      <c r="C24" s="11"/>
    </row>
    <row r="25" spans="2:3" ht="12.75">
      <c r="B25" s="11"/>
      <c r="C25" s="11"/>
    </row>
    <row r="26" spans="1:3" ht="12.75">
      <c r="A26" s="9" t="s">
        <v>117</v>
      </c>
      <c r="B26" s="11"/>
      <c r="C26" s="11"/>
    </row>
    <row r="45" ht="12.75">
      <c r="A45" s="9"/>
    </row>
    <row r="46" ht="12.75">
      <c r="A46" s="9"/>
    </row>
  </sheetData>
  <printOptions horizontalCentered="1"/>
  <pageMargins left="0.4" right="0.4" top="0.75" bottom="0.5" header="0.5" footer="0.5"/>
  <pageSetup fitToHeight="0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8"/>
  <sheetViews>
    <sheetView showGridLines="0" zoomScale="125" zoomScaleNormal="125" zoomScaleSheetLayoutView="100" workbookViewId="0" topLeftCell="A10">
      <selection activeCell="A51" sqref="A50:IV51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4.710937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8" width="9.7109375" style="3" customWidth="1"/>
    <col min="19" max="16384" width="9.7109375" style="3" customWidth="1"/>
  </cols>
  <sheetData>
    <row r="1" spans="1:17" ht="15.75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>
      <c r="A2" s="1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205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1:16" ht="12.75">
      <c r="A7" s="9"/>
      <c r="B7" s="3" t="s">
        <v>138</v>
      </c>
      <c r="C7" s="3">
        <f aca="true" t="shared" si="0" ref="C7:C24">D7+E7</f>
        <v>18</v>
      </c>
      <c r="D7" s="12">
        <v>12</v>
      </c>
      <c r="E7" s="12">
        <v>6</v>
      </c>
      <c r="G7" s="12"/>
      <c r="H7" s="12">
        <v>3</v>
      </c>
      <c r="I7" s="12"/>
      <c r="J7" s="12"/>
      <c r="L7" s="3">
        <f aca="true" t="shared" si="1" ref="L7:L24">(C7-N7)</f>
        <v>8</v>
      </c>
      <c r="N7" s="12">
        <v>10</v>
      </c>
      <c r="P7" s="12">
        <v>5</v>
      </c>
    </row>
    <row r="8" spans="2:16" ht="12" customHeight="1">
      <c r="B8" s="9" t="s">
        <v>126</v>
      </c>
      <c r="C8" s="3">
        <f t="shared" si="0"/>
        <v>33</v>
      </c>
      <c r="D8" s="3">
        <v>15</v>
      </c>
      <c r="E8" s="3">
        <v>18</v>
      </c>
      <c r="H8" s="3">
        <v>1</v>
      </c>
      <c r="J8" s="3">
        <v>1</v>
      </c>
      <c r="L8" s="3">
        <f t="shared" si="1"/>
        <v>18</v>
      </c>
      <c r="N8" s="3">
        <v>15</v>
      </c>
      <c r="P8" s="3">
        <v>7</v>
      </c>
    </row>
    <row r="9" spans="2:16" ht="12" customHeight="1">
      <c r="B9" s="9" t="s">
        <v>19</v>
      </c>
      <c r="C9" s="3">
        <f t="shared" si="0"/>
        <v>184</v>
      </c>
      <c r="D9" s="3">
        <v>131</v>
      </c>
      <c r="E9" s="3">
        <v>53</v>
      </c>
      <c r="H9" s="3">
        <v>3</v>
      </c>
      <c r="I9" s="3">
        <v>1</v>
      </c>
      <c r="J9" s="3">
        <v>1</v>
      </c>
      <c r="L9" s="3">
        <f t="shared" si="1"/>
        <v>65</v>
      </c>
      <c r="N9" s="3">
        <f>82+37</f>
        <v>119</v>
      </c>
      <c r="P9" s="3">
        <f>25+20</f>
        <v>45</v>
      </c>
    </row>
    <row r="10" spans="2:16" ht="12" customHeight="1">
      <c r="B10" s="9" t="s">
        <v>21</v>
      </c>
      <c r="C10" s="3">
        <f t="shared" si="0"/>
        <v>91</v>
      </c>
      <c r="D10" s="3">
        <v>45</v>
      </c>
      <c r="E10" s="3">
        <v>46</v>
      </c>
      <c r="H10" s="3">
        <v>3</v>
      </c>
      <c r="J10" s="3">
        <v>2</v>
      </c>
      <c r="L10" s="3">
        <f t="shared" si="1"/>
        <v>38</v>
      </c>
      <c r="N10" s="3">
        <f>25+28</f>
        <v>53</v>
      </c>
      <c r="P10" s="3">
        <v>22</v>
      </c>
    </row>
    <row r="11" spans="2:16" ht="12" customHeight="1">
      <c r="B11" s="9" t="s">
        <v>127</v>
      </c>
      <c r="C11" s="3">
        <f t="shared" si="0"/>
        <v>39</v>
      </c>
      <c r="D11" s="3">
        <v>23</v>
      </c>
      <c r="E11" s="3">
        <v>16</v>
      </c>
      <c r="L11" s="3">
        <f t="shared" si="1"/>
        <v>7</v>
      </c>
      <c r="N11" s="3">
        <f>19+13</f>
        <v>32</v>
      </c>
      <c r="P11" s="3">
        <f>16+11</f>
        <v>27</v>
      </c>
    </row>
    <row r="12" spans="2:12" ht="12" customHeight="1">
      <c r="B12" s="9" t="s">
        <v>128</v>
      </c>
      <c r="C12" s="3">
        <f t="shared" si="0"/>
        <v>0</v>
      </c>
      <c r="D12" s="3">
        <v>0</v>
      </c>
      <c r="E12" s="3">
        <v>0</v>
      </c>
      <c r="L12" s="3">
        <f t="shared" si="1"/>
        <v>0</v>
      </c>
    </row>
    <row r="13" spans="2:16" ht="12" customHeight="1">
      <c r="B13" s="9" t="s">
        <v>179</v>
      </c>
      <c r="C13" s="3">
        <f t="shared" si="0"/>
        <v>12</v>
      </c>
      <c r="D13" s="3">
        <v>4</v>
      </c>
      <c r="E13" s="3">
        <v>8</v>
      </c>
      <c r="L13" s="3">
        <f t="shared" si="1"/>
        <v>3</v>
      </c>
      <c r="N13" s="3">
        <v>9</v>
      </c>
      <c r="P13" s="3">
        <v>1</v>
      </c>
    </row>
    <row r="14" spans="2:16" ht="12" customHeight="1">
      <c r="B14" s="9" t="s">
        <v>129</v>
      </c>
      <c r="C14" s="3">
        <f t="shared" si="0"/>
        <v>33</v>
      </c>
      <c r="D14" s="3">
        <v>21</v>
      </c>
      <c r="E14" s="3">
        <v>12</v>
      </c>
      <c r="L14" s="3">
        <f t="shared" si="1"/>
        <v>4</v>
      </c>
      <c r="N14" s="3">
        <f>18+11</f>
        <v>29</v>
      </c>
      <c r="P14" s="3">
        <v>25</v>
      </c>
    </row>
    <row r="15" spans="2:16" ht="12" customHeight="1">
      <c r="B15" s="9" t="s">
        <v>25</v>
      </c>
      <c r="C15" s="3">
        <f t="shared" si="0"/>
        <v>35</v>
      </c>
      <c r="D15" s="3">
        <v>17</v>
      </c>
      <c r="E15" s="3">
        <v>18</v>
      </c>
      <c r="J15" s="3">
        <v>1</v>
      </c>
      <c r="L15" s="3">
        <f t="shared" si="1"/>
        <v>17</v>
      </c>
      <c r="N15" s="3">
        <v>18</v>
      </c>
      <c r="P15" s="3">
        <v>5</v>
      </c>
    </row>
    <row r="16" spans="2:16" ht="12" customHeight="1">
      <c r="B16" s="9" t="s">
        <v>233</v>
      </c>
      <c r="C16" s="3">
        <f t="shared" si="0"/>
        <v>25</v>
      </c>
      <c r="D16" s="3">
        <v>11</v>
      </c>
      <c r="E16" s="3">
        <v>14</v>
      </c>
      <c r="H16" s="3">
        <v>2</v>
      </c>
      <c r="L16" s="3">
        <f t="shared" si="1"/>
        <v>5</v>
      </c>
      <c r="N16" s="3">
        <v>20</v>
      </c>
      <c r="P16" s="3">
        <v>13</v>
      </c>
    </row>
    <row r="17" spans="2:16" ht="12" customHeight="1">
      <c r="B17" s="9" t="s">
        <v>180</v>
      </c>
      <c r="C17" s="3">
        <f t="shared" si="0"/>
        <v>37</v>
      </c>
      <c r="D17" s="3">
        <v>17</v>
      </c>
      <c r="E17" s="3">
        <v>20</v>
      </c>
      <c r="L17" s="3">
        <f t="shared" si="1"/>
        <v>5</v>
      </c>
      <c r="N17" s="3">
        <f>15+17</f>
        <v>32</v>
      </c>
      <c r="P17" s="3">
        <f>14+11</f>
        <v>25</v>
      </c>
    </row>
    <row r="18" spans="2:16" ht="12" customHeight="1">
      <c r="B18" s="9" t="s">
        <v>29</v>
      </c>
      <c r="C18" s="3">
        <f t="shared" si="0"/>
        <v>21</v>
      </c>
      <c r="D18" s="3">
        <v>14</v>
      </c>
      <c r="E18" s="3">
        <v>7</v>
      </c>
      <c r="J18" s="3">
        <v>1</v>
      </c>
      <c r="L18" s="3">
        <f t="shared" si="1"/>
        <v>13</v>
      </c>
      <c r="N18" s="3">
        <v>8</v>
      </c>
      <c r="P18" s="3">
        <v>5</v>
      </c>
    </row>
    <row r="19" spans="2:16" ht="12" customHeight="1">
      <c r="B19" s="9" t="s">
        <v>30</v>
      </c>
      <c r="C19" s="3">
        <f t="shared" si="0"/>
        <v>8</v>
      </c>
      <c r="D19" s="3">
        <v>3</v>
      </c>
      <c r="E19" s="3">
        <v>5</v>
      </c>
      <c r="L19" s="3">
        <f t="shared" si="1"/>
        <v>3</v>
      </c>
      <c r="N19" s="3">
        <v>5</v>
      </c>
      <c r="P19" s="3">
        <v>1</v>
      </c>
    </row>
    <row r="20" spans="2:16" ht="12" customHeight="1">
      <c r="B20" s="9" t="s">
        <v>181</v>
      </c>
      <c r="C20" s="3">
        <f t="shared" si="0"/>
        <v>51</v>
      </c>
      <c r="D20" s="3">
        <v>32</v>
      </c>
      <c r="E20" s="3">
        <v>19</v>
      </c>
      <c r="L20" s="3">
        <f t="shared" si="1"/>
        <v>21</v>
      </c>
      <c r="N20" s="3">
        <f>18+12</f>
        <v>30</v>
      </c>
      <c r="P20" s="3">
        <v>7</v>
      </c>
    </row>
    <row r="21" spans="2:16" ht="12" customHeight="1">
      <c r="B21" s="9" t="s">
        <v>130</v>
      </c>
      <c r="C21" s="3">
        <f t="shared" si="0"/>
        <v>42</v>
      </c>
      <c r="D21" s="3">
        <v>21</v>
      </c>
      <c r="E21" s="3">
        <v>21</v>
      </c>
      <c r="H21" s="3">
        <v>2</v>
      </c>
      <c r="J21" s="3">
        <v>1</v>
      </c>
      <c r="L21" s="3">
        <f t="shared" si="1"/>
        <v>15</v>
      </c>
      <c r="N21" s="3">
        <v>27</v>
      </c>
      <c r="P21" s="3">
        <v>17</v>
      </c>
    </row>
    <row r="22" spans="2:14" ht="12" customHeight="1">
      <c r="B22" s="9" t="s">
        <v>32</v>
      </c>
      <c r="C22" s="3">
        <f t="shared" si="0"/>
        <v>38</v>
      </c>
      <c r="D22" s="3">
        <v>25</v>
      </c>
      <c r="E22" s="3">
        <v>13</v>
      </c>
      <c r="G22" s="3">
        <v>1</v>
      </c>
      <c r="I22" s="3">
        <v>2</v>
      </c>
      <c r="L22" s="3">
        <f t="shared" si="1"/>
        <v>27</v>
      </c>
      <c r="N22" s="3">
        <v>11</v>
      </c>
    </row>
    <row r="23" spans="2:16" ht="12" customHeight="1">
      <c r="B23" s="9" t="s">
        <v>131</v>
      </c>
      <c r="C23" s="3">
        <f t="shared" si="0"/>
        <v>12</v>
      </c>
      <c r="D23" s="3">
        <v>4</v>
      </c>
      <c r="E23" s="3">
        <v>8</v>
      </c>
      <c r="H23" s="3">
        <v>1</v>
      </c>
      <c r="L23" s="3">
        <f t="shared" si="1"/>
        <v>3</v>
      </c>
      <c r="N23" s="3">
        <v>9</v>
      </c>
      <c r="P23" s="3">
        <v>4</v>
      </c>
    </row>
    <row r="24" spans="2:12" ht="12" customHeight="1">
      <c r="B24" s="9" t="s">
        <v>132</v>
      </c>
      <c r="C24" s="3">
        <f t="shared" si="0"/>
        <v>0</v>
      </c>
      <c r="D24" s="3">
        <v>0</v>
      </c>
      <c r="L24" s="3">
        <f t="shared" si="1"/>
        <v>0</v>
      </c>
    </row>
    <row r="26" spans="1:16" ht="12.75">
      <c r="A26" s="9" t="s">
        <v>4</v>
      </c>
      <c r="C26" s="3">
        <f>SUM(C7:C24)</f>
        <v>679</v>
      </c>
      <c r="D26" s="3">
        <f>SUM(D7:D24)</f>
        <v>395</v>
      </c>
      <c r="E26" s="3">
        <f aca="true" t="shared" si="2" ref="E26:P26">SUM(E7:E24)</f>
        <v>284</v>
      </c>
      <c r="F26" s="3">
        <f t="shared" si="2"/>
        <v>0</v>
      </c>
      <c r="G26" s="3">
        <f t="shared" si="2"/>
        <v>1</v>
      </c>
      <c r="H26" s="3">
        <f t="shared" si="2"/>
        <v>15</v>
      </c>
      <c r="I26" s="3">
        <f t="shared" si="2"/>
        <v>3</v>
      </c>
      <c r="J26" s="3">
        <f t="shared" si="2"/>
        <v>7</v>
      </c>
      <c r="L26" s="3">
        <f t="shared" si="2"/>
        <v>252</v>
      </c>
      <c r="N26" s="3">
        <f t="shared" si="2"/>
        <v>427</v>
      </c>
      <c r="P26" s="3">
        <f t="shared" si="2"/>
        <v>209</v>
      </c>
    </row>
    <row r="28" ht="12.75">
      <c r="A28" s="17"/>
    </row>
    <row r="29" spans="8:16" ht="12.75">
      <c r="H29" s="4" t="s">
        <v>1</v>
      </c>
      <c r="N29" s="5" t="s">
        <v>2</v>
      </c>
      <c r="P29" s="5" t="s">
        <v>3</v>
      </c>
    </row>
    <row r="30" spans="1:16" ht="12.75">
      <c r="A30" s="4" t="s">
        <v>34</v>
      </c>
      <c r="C30" s="7" t="s">
        <v>4</v>
      </c>
      <c r="D30" s="7" t="s">
        <v>5</v>
      </c>
      <c r="E30" s="7" t="s">
        <v>6</v>
      </c>
      <c r="F30" s="6"/>
      <c r="G30" s="7" t="s">
        <v>7</v>
      </c>
      <c r="H30" s="7" t="s">
        <v>8</v>
      </c>
      <c r="I30" s="7" t="s">
        <v>9</v>
      </c>
      <c r="J30" s="7" t="s">
        <v>10</v>
      </c>
      <c r="K30" s="6"/>
      <c r="L30" s="8" t="s">
        <v>11</v>
      </c>
      <c r="M30" s="6"/>
      <c r="N30" s="8" t="s">
        <v>12</v>
      </c>
      <c r="O30" s="6"/>
      <c r="P30" s="8" t="s">
        <v>13</v>
      </c>
    </row>
    <row r="31" spans="1:16" ht="12.75">
      <c r="A31" s="4"/>
      <c r="B31" s="3" t="s">
        <v>37</v>
      </c>
      <c r="C31" s="3">
        <f>D31+E31</f>
        <v>43</v>
      </c>
      <c r="D31" s="3">
        <v>12</v>
      </c>
      <c r="E31" s="3">
        <v>31</v>
      </c>
      <c r="I31" s="3">
        <v>1</v>
      </c>
      <c r="J31" s="3">
        <v>1</v>
      </c>
      <c r="L31" s="3">
        <f>(C31-N31)</f>
        <v>22</v>
      </c>
      <c r="N31" s="3">
        <f>3+18</f>
        <v>21</v>
      </c>
      <c r="P31" s="3">
        <v>18</v>
      </c>
    </row>
    <row r="32" spans="2:16" ht="12" customHeight="1">
      <c r="B32" s="9" t="s">
        <v>133</v>
      </c>
      <c r="C32" s="3">
        <f>D32+E32</f>
        <v>218</v>
      </c>
      <c r="D32" s="3">
        <v>140</v>
      </c>
      <c r="E32" s="3">
        <v>78</v>
      </c>
      <c r="H32" s="3">
        <v>1</v>
      </c>
      <c r="I32" s="3">
        <v>5</v>
      </c>
      <c r="J32" s="3">
        <v>1</v>
      </c>
      <c r="L32" s="3">
        <f>(C32-N32)</f>
        <v>180</v>
      </c>
      <c r="N32" s="3">
        <f>21+17</f>
        <v>38</v>
      </c>
      <c r="P32" s="3">
        <f>16+15</f>
        <v>31</v>
      </c>
    </row>
    <row r="33" spans="2:16" ht="12" customHeight="1">
      <c r="B33" s="9" t="s">
        <v>170</v>
      </c>
      <c r="C33" s="3">
        <f>D33+E33</f>
        <v>28</v>
      </c>
      <c r="D33" s="3">
        <v>22</v>
      </c>
      <c r="E33" s="3">
        <v>6</v>
      </c>
      <c r="J33" s="3">
        <v>4</v>
      </c>
      <c r="L33" s="3">
        <f>(C33-N33)</f>
        <v>18</v>
      </c>
      <c r="N33" s="3">
        <v>10</v>
      </c>
      <c r="P33" s="3">
        <v>8</v>
      </c>
    </row>
    <row r="35" spans="1:16" ht="12.75">
      <c r="A35" s="9" t="s">
        <v>4</v>
      </c>
      <c r="C35" s="3">
        <f>SUM(C31:C33)</f>
        <v>289</v>
      </c>
      <c r="D35" s="3">
        <f aca="true" t="shared" si="3" ref="D35:P35">SUM(D31:D33)</f>
        <v>174</v>
      </c>
      <c r="E35" s="3">
        <f t="shared" si="3"/>
        <v>115</v>
      </c>
      <c r="F35" s="3">
        <f t="shared" si="3"/>
        <v>0</v>
      </c>
      <c r="G35" s="3">
        <f t="shared" si="3"/>
        <v>0</v>
      </c>
      <c r="H35" s="3">
        <f t="shared" si="3"/>
        <v>1</v>
      </c>
      <c r="I35" s="3">
        <f t="shared" si="3"/>
        <v>6</v>
      </c>
      <c r="J35" s="3">
        <f t="shared" si="3"/>
        <v>6</v>
      </c>
      <c r="L35" s="3">
        <f t="shared" si="3"/>
        <v>220</v>
      </c>
      <c r="N35" s="3">
        <f t="shared" si="3"/>
        <v>69</v>
      </c>
      <c r="P35" s="3">
        <f t="shared" si="3"/>
        <v>57</v>
      </c>
    </row>
    <row r="36" ht="12.75">
      <c r="A36" s="9"/>
    </row>
    <row r="37" ht="12.75">
      <c r="A37" s="9"/>
    </row>
    <row r="39" spans="8:16" ht="12.75">
      <c r="H39" s="4" t="s">
        <v>1</v>
      </c>
      <c r="N39" s="5" t="s">
        <v>2</v>
      </c>
      <c r="P39" s="5" t="s">
        <v>3</v>
      </c>
    </row>
    <row r="40" spans="1:16" ht="12.75">
      <c r="A40" s="4" t="s">
        <v>42</v>
      </c>
      <c r="B40" s="6"/>
      <c r="C40" s="7" t="s">
        <v>4</v>
      </c>
      <c r="D40" s="7" t="s">
        <v>5</v>
      </c>
      <c r="E40" s="7" t="s">
        <v>6</v>
      </c>
      <c r="F40" s="6"/>
      <c r="G40" s="7" t="s">
        <v>7</v>
      </c>
      <c r="H40" s="7" t="s">
        <v>8</v>
      </c>
      <c r="I40" s="7" t="s">
        <v>9</v>
      </c>
      <c r="J40" s="7" t="s">
        <v>10</v>
      </c>
      <c r="K40" s="6"/>
      <c r="L40" s="8" t="s">
        <v>11</v>
      </c>
      <c r="M40" s="6"/>
      <c r="N40" s="8" t="s">
        <v>12</v>
      </c>
      <c r="O40" s="6"/>
      <c r="P40" s="8" t="s">
        <v>13</v>
      </c>
    </row>
    <row r="41" spans="2:16" ht="12" customHeight="1">
      <c r="B41" s="9" t="s">
        <v>134</v>
      </c>
      <c r="C41" s="3">
        <f>D41+E41</f>
        <v>44</v>
      </c>
      <c r="D41" s="3">
        <v>26</v>
      </c>
      <c r="E41" s="3">
        <v>18</v>
      </c>
      <c r="J41" s="3">
        <v>3</v>
      </c>
      <c r="L41" s="3">
        <f>(C41-N41)</f>
        <v>27</v>
      </c>
      <c r="N41" s="3">
        <v>17</v>
      </c>
      <c r="P41" s="3">
        <v>6</v>
      </c>
    </row>
    <row r="42" spans="2:16" ht="12" customHeight="1">
      <c r="B42" s="9" t="s">
        <v>45</v>
      </c>
      <c r="C42" s="3">
        <f>D42+E42</f>
        <v>45</v>
      </c>
      <c r="D42" s="3">
        <v>15</v>
      </c>
      <c r="E42" s="3">
        <v>30</v>
      </c>
      <c r="G42" s="3">
        <v>1</v>
      </c>
      <c r="H42" s="3">
        <v>1</v>
      </c>
      <c r="I42" s="3">
        <v>3</v>
      </c>
      <c r="J42" s="3">
        <v>1</v>
      </c>
      <c r="L42" s="3">
        <f>(C42-N42)</f>
        <v>23</v>
      </c>
      <c r="N42" s="3">
        <f>7+15</f>
        <v>22</v>
      </c>
      <c r="P42" s="3">
        <v>13</v>
      </c>
    </row>
    <row r="43" spans="2:16" ht="12" customHeight="1">
      <c r="B43" s="9" t="s">
        <v>46</v>
      </c>
      <c r="C43" s="3">
        <f>D43+E43</f>
        <v>43</v>
      </c>
      <c r="D43" s="3">
        <v>21</v>
      </c>
      <c r="E43" s="3">
        <v>22</v>
      </c>
      <c r="H43" s="3">
        <v>2</v>
      </c>
      <c r="I43" s="3">
        <v>2</v>
      </c>
      <c r="J43" s="3">
        <v>1</v>
      </c>
      <c r="L43" s="3">
        <f>(C43-N43)</f>
        <v>21</v>
      </c>
      <c r="N43" s="3">
        <f>10+12</f>
        <v>22</v>
      </c>
      <c r="P43" s="3">
        <v>13</v>
      </c>
    </row>
    <row r="44" spans="2:14" ht="12" customHeight="1">
      <c r="B44" s="9" t="s">
        <v>49</v>
      </c>
      <c r="C44" s="3">
        <f>D44+E44</f>
        <v>16</v>
      </c>
      <c r="D44" s="3">
        <v>11</v>
      </c>
      <c r="E44" s="3">
        <v>5</v>
      </c>
      <c r="H44" s="3">
        <v>1</v>
      </c>
      <c r="L44" s="3">
        <f>(C44-N44)</f>
        <v>10</v>
      </c>
      <c r="N44" s="3">
        <v>6</v>
      </c>
    </row>
    <row r="46" spans="1:16" ht="12.75">
      <c r="A46" s="9" t="s">
        <v>4</v>
      </c>
      <c r="C46" s="3">
        <f>SUM(C41:C44)</f>
        <v>148</v>
      </c>
      <c r="D46" s="3">
        <f>SUM(D41:D44)</f>
        <v>73</v>
      </c>
      <c r="E46" s="3">
        <f>SUM(E41:E44)</f>
        <v>75</v>
      </c>
      <c r="G46" s="3">
        <f>SUM(G41:G44)</f>
        <v>1</v>
      </c>
      <c r="H46" s="3">
        <f>SUM(H41:H44)</f>
        <v>4</v>
      </c>
      <c r="I46" s="3">
        <f>SUM(I41:I44)</f>
        <v>5</v>
      </c>
      <c r="J46" s="3">
        <f>SUM(J41:J44)</f>
        <v>5</v>
      </c>
      <c r="L46" s="3">
        <f>SUM(L41:L44)</f>
        <v>81</v>
      </c>
      <c r="N46" s="3">
        <f>SUM(N41:N44)</f>
        <v>67</v>
      </c>
      <c r="P46" s="3">
        <f>SUM(P41:P44)</f>
        <v>32</v>
      </c>
    </row>
    <row r="50" spans="1:17" ht="12.75">
      <c r="A50" s="21" t="s">
        <v>188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8:16" ht="12.75">
      <c r="H53" s="4" t="s">
        <v>1</v>
      </c>
      <c r="N53" s="5" t="s">
        <v>2</v>
      </c>
      <c r="P53" s="5" t="s">
        <v>3</v>
      </c>
    </row>
    <row r="54" spans="1:16" ht="12.75">
      <c r="A54" s="4" t="s">
        <v>55</v>
      </c>
      <c r="B54" s="6"/>
      <c r="C54" s="7" t="s">
        <v>4</v>
      </c>
      <c r="D54" s="7" t="s">
        <v>5</v>
      </c>
      <c r="E54" s="7" t="s">
        <v>6</v>
      </c>
      <c r="F54" s="6"/>
      <c r="G54" s="7" t="s">
        <v>7</v>
      </c>
      <c r="H54" s="7" t="s">
        <v>8</v>
      </c>
      <c r="I54" s="7" t="s">
        <v>9</v>
      </c>
      <c r="J54" s="7" t="s">
        <v>10</v>
      </c>
      <c r="K54" s="6"/>
      <c r="L54" s="8" t="s">
        <v>11</v>
      </c>
      <c r="M54" s="6"/>
      <c r="N54" s="8" t="s">
        <v>12</v>
      </c>
      <c r="O54" s="6"/>
      <c r="P54" s="8" t="s">
        <v>13</v>
      </c>
    </row>
    <row r="55" spans="2:16" ht="12" customHeight="1">
      <c r="B55" s="9" t="s">
        <v>57</v>
      </c>
      <c r="C55" s="3">
        <f aca="true" t="shared" si="4" ref="C55:C63">D55+E55</f>
        <v>56</v>
      </c>
      <c r="D55" s="3">
        <v>45</v>
      </c>
      <c r="E55" s="3">
        <v>11</v>
      </c>
      <c r="H55" s="3">
        <v>1</v>
      </c>
      <c r="J55" s="3">
        <v>1</v>
      </c>
      <c r="L55" s="3">
        <f aca="true" t="shared" si="5" ref="L55:L63">(C55-N55)</f>
        <v>14</v>
      </c>
      <c r="N55" s="3">
        <f>32+10</f>
        <v>42</v>
      </c>
      <c r="P55" s="3">
        <f>24+10</f>
        <v>34</v>
      </c>
    </row>
    <row r="56" spans="2:16" ht="12" customHeight="1">
      <c r="B56" s="9" t="s">
        <v>138</v>
      </c>
      <c r="C56" s="3">
        <f t="shared" si="4"/>
        <v>52</v>
      </c>
      <c r="D56" s="3">
        <v>36</v>
      </c>
      <c r="E56" s="3">
        <v>16</v>
      </c>
      <c r="H56" s="3">
        <v>2</v>
      </c>
      <c r="I56" s="3">
        <v>1</v>
      </c>
      <c r="L56" s="3">
        <f t="shared" si="5"/>
        <v>16</v>
      </c>
      <c r="N56" s="3">
        <f>21+15</f>
        <v>36</v>
      </c>
      <c r="P56" s="3">
        <v>25</v>
      </c>
    </row>
    <row r="57" spans="2:16" ht="12" customHeight="1">
      <c r="B57" s="9" t="s">
        <v>59</v>
      </c>
      <c r="C57" s="3">
        <f t="shared" si="4"/>
        <v>51</v>
      </c>
      <c r="D57" s="3">
        <v>33</v>
      </c>
      <c r="E57" s="3">
        <v>18</v>
      </c>
      <c r="J57" s="3">
        <v>4</v>
      </c>
      <c r="L57" s="3">
        <f t="shared" si="5"/>
        <v>10</v>
      </c>
      <c r="N57" s="3">
        <f>27+14</f>
        <v>41</v>
      </c>
      <c r="P57" s="3">
        <v>26</v>
      </c>
    </row>
    <row r="58" spans="2:16" ht="12" customHeight="1">
      <c r="B58" s="9" t="s">
        <v>234</v>
      </c>
      <c r="C58" s="3">
        <f t="shared" si="4"/>
        <v>111</v>
      </c>
      <c r="D58" s="3">
        <v>89</v>
      </c>
      <c r="E58" s="3">
        <v>22</v>
      </c>
      <c r="I58" s="3">
        <v>1</v>
      </c>
      <c r="L58" s="3">
        <f t="shared" si="5"/>
        <v>34</v>
      </c>
      <c r="N58" s="3">
        <f>59+18</f>
        <v>77</v>
      </c>
      <c r="P58" s="3">
        <v>54</v>
      </c>
    </row>
    <row r="59" spans="2:16" ht="12" customHeight="1">
      <c r="B59" s="9" t="s">
        <v>139</v>
      </c>
      <c r="C59" s="3">
        <f t="shared" si="4"/>
        <v>244</v>
      </c>
      <c r="D59" s="3">
        <v>210</v>
      </c>
      <c r="E59" s="3">
        <v>34</v>
      </c>
      <c r="H59" s="3">
        <v>6</v>
      </c>
      <c r="I59" s="3">
        <v>6</v>
      </c>
      <c r="J59" s="3">
        <v>4</v>
      </c>
      <c r="L59" s="3">
        <f t="shared" si="5"/>
        <v>55</v>
      </c>
      <c r="N59" s="3">
        <f>160+29</f>
        <v>189</v>
      </c>
      <c r="P59" s="3">
        <f>134+22</f>
        <v>156</v>
      </c>
    </row>
    <row r="60" spans="2:16" ht="12" customHeight="1">
      <c r="B60" s="9" t="s">
        <v>140</v>
      </c>
      <c r="C60" s="3">
        <f t="shared" si="4"/>
        <v>69</v>
      </c>
      <c r="D60" s="3">
        <v>48</v>
      </c>
      <c r="E60" s="3">
        <v>21</v>
      </c>
      <c r="H60" s="3">
        <v>2</v>
      </c>
      <c r="I60" s="3">
        <v>1</v>
      </c>
      <c r="L60" s="3">
        <f t="shared" si="5"/>
        <v>23</v>
      </c>
      <c r="N60" s="3">
        <f>30+16</f>
        <v>46</v>
      </c>
      <c r="P60" s="3">
        <v>34</v>
      </c>
    </row>
    <row r="61" spans="2:16" ht="12" customHeight="1">
      <c r="B61" s="9" t="s">
        <v>141</v>
      </c>
      <c r="C61" s="3">
        <f t="shared" si="4"/>
        <v>84</v>
      </c>
      <c r="D61" s="3">
        <v>67</v>
      </c>
      <c r="E61" s="3">
        <v>17</v>
      </c>
      <c r="I61" s="3">
        <v>1</v>
      </c>
      <c r="J61" s="3">
        <v>1</v>
      </c>
      <c r="L61" s="3">
        <f t="shared" si="5"/>
        <v>24</v>
      </c>
      <c r="N61" s="3">
        <f>46+14</f>
        <v>60</v>
      </c>
      <c r="P61" s="3">
        <f>35+11</f>
        <v>46</v>
      </c>
    </row>
    <row r="62" spans="2:16" ht="12" customHeight="1">
      <c r="B62" s="9" t="s">
        <v>66</v>
      </c>
      <c r="C62" s="3">
        <f t="shared" si="4"/>
        <v>158</v>
      </c>
      <c r="D62" s="3">
        <v>142</v>
      </c>
      <c r="E62" s="3">
        <v>16</v>
      </c>
      <c r="H62" s="3">
        <v>2</v>
      </c>
      <c r="I62" s="3">
        <v>2</v>
      </c>
      <c r="J62" s="3">
        <v>1</v>
      </c>
      <c r="L62" s="3">
        <f t="shared" si="5"/>
        <v>69</v>
      </c>
      <c r="N62" s="3">
        <f>77+12</f>
        <v>89</v>
      </c>
      <c r="P62" s="3">
        <v>59</v>
      </c>
    </row>
    <row r="63" spans="2:16" ht="12" customHeight="1">
      <c r="B63" s="9" t="s">
        <v>142</v>
      </c>
      <c r="C63" s="3">
        <f t="shared" si="4"/>
        <v>34</v>
      </c>
      <c r="D63" s="3">
        <v>31</v>
      </c>
      <c r="E63" s="3">
        <v>3</v>
      </c>
      <c r="H63" s="3">
        <v>1</v>
      </c>
      <c r="I63" s="3">
        <v>3</v>
      </c>
      <c r="L63" s="3">
        <f t="shared" si="5"/>
        <v>19</v>
      </c>
      <c r="N63" s="3">
        <v>15</v>
      </c>
      <c r="P63" s="3">
        <v>3</v>
      </c>
    </row>
    <row r="65" spans="1:16" ht="12.75">
      <c r="A65" s="9" t="s">
        <v>4</v>
      </c>
      <c r="C65" s="3">
        <f>SUM(C55:C63)</f>
        <v>859</v>
      </c>
      <c r="D65" s="3">
        <f>SUM(D55:D63)</f>
        <v>701</v>
      </c>
      <c r="E65" s="3">
        <f>SUM(E55:E63)</f>
        <v>158</v>
      </c>
      <c r="G65" s="3">
        <f>SUM(G55:G63)</f>
        <v>0</v>
      </c>
      <c r="H65" s="3">
        <f>SUM(H55:H63)</f>
        <v>14</v>
      </c>
      <c r="I65" s="3">
        <f>SUM(I55:I63)</f>
        <v>15</v>
      </c>
      <c r="J65" s="3">
        <f>SUM(J55:J63)</f>
        <v>11</v>
      </c>
      <c r="L65" s="3">
        <f>SUM(L55:L63)</f>
        <v>264</v>
      </c>
      <c r="N65" s="3">
        <f>SUM(N55:N63)</f>
        <v>595</v>
      </c>
      <c r="P65" s="3">
        <f>SUM(P55:P63)</f>
        <v>437</v>
      </c>
    </row>
    <row r="69" spans="8:16" ht="12.75">
      <c r="H69" s="4" t="s">
        <v>1</v>
      </c>
      <c r="N69" s="5" t="s">
        <v>2</v>
      </c>
      <c r="P69" s="5" t="s">
        <v>3</v>
      </c>
    </row>
    <row r="70" spans="1:16" ht="12.75">
      <c r="A70" s="4" t="s">
        <v>214</v>
      </c>
      <c r="B70" s="6"/>
      <c r="C70" s="7" t="s">
        <v>4</v>
      </c>
      <c r="D70" s="7" t="s">
        <v>5</v>
      </c>
      <c r="E70" s="7" t="s">
        <v>6</v>
      </c>
      <c r="F70" s="6"/>
      <c r="G70" s="7" t="s">
        <v>7</v>
      </c>
      <c r="H70" s="7" t="s">
        <v>8</v>
      </c>
      <c r="I70" s="7" t="s">
        <v>9</v>
      </c>
      <c r="J70" s="7" t="s">
        <v>10</v>
      </c>
      <c r="K70" s="6"/>
      <c r="L70" s="8" t="s">
        <v>11</v>
      </c>
      <c r="M70" s="6"/>
      <c r="N70" s="8" t="s">
        <v>12</v>
      </c>
      <c r="O70" s="6"/>
      <c r="P70" s="8" t="s">
        <v>13</v>
      </c>
    </row>
    <row r="71" spans="1:16" ht="12.75">
      <c r="A71" s="9"/>
      <c r="B71" s="9" t="s">
        <v>173</v>
      </c>
      <c r="C71" s="3">
        <f>D71+E71</f>
        <v>0</v>
      </c>
      <c r="D71" s="3">
        <v>0</v>
      </c>
      <c r="E71" s="3">
        <v>0</v>
      </c>
      <c r="L71" s="3">
        <f>(C71-N71)</f>
        <v>0</v>
      </c>
      <c r="N71" s="12"/>
      <c r="P71" s="12"/>
    </row>
    <row r="72" spans="1:16" ht="12.75">
      <c r="A72" s="9"/>
      <c r="B72" s="9" t="s">
        <v>135</v>
      </c>
      <c r="C72" s="3">
        <f aca="true" t="shared" si="6" ref="C72:C78">D72+E72</f>
        <v>121</v>
      </c>
      <c r="D72" s="3">
        <v>43</v>
      </c>
      <c r="E72" s="3">
        <v>78</v>
      </c>
      <c r="G72" s="3">
        <v>1</v>
      </c>
      <c r="H72" s="3">
        <v>4</v>
      </c>
      <c r="I72" s="3">
        <v>5</v>
      </c>
      <c r="J72" s="3">
        <v>4</v>
      </c>
      <c r="L72" s="3">
        <f aca="true" t="shared" si="7" ref="L72:L78">(C72-N72)</f>
        <v>81</v>
      </c>
      <c r="N72" s="12">
        <f>19+21</f>
        <v>40</v>
      </c>
      <c r="P72" s="12">
        <v>24</v>
      </c>
    </row>
    <row r="73" spans="1:16" ht="12.75">
      <c r="A73" s="9"/>
      <c r="B73" s="9" t="s">
        <v>136</v>
      </c>
      <c r="C73" s="3">
        <f t="shared" si="6"/>
        <v>262</v>
      </c>
      <c r="D73" s="3">
        <v>90</v>
      </c>
      <c r="E73" s="3">
        <v>172</v>
      </c>
      <c r="G73" s="3">
        <v>3</v>
      </c>
      <c r="H73" s="3">
        <v>22</v>
      </c>
      <c r="I73" s="3">
        <v>5</v>
      </c>
      <c r="J73" s="3">
        <v>9</v>
      </c>
      <c r="L73" s="3">
        <f t="shared" si="7"/>
        <v>200</v>
      </c>
      <c r="N73" s="12">
        <f>26+36</f>
        <v>62</v>
      </c>
      <c r="P73" s="12">
        <v>6</v>
      </c>
    </row>
    <row r="74" spans="1:16" ht="12.75">
      <c r="A74" s="9"/>
      <c r="B74" s="9" t="s">
        <v>67</v>
      </c>
      <c r="C74" s="3">
        <f t="shared" si="6"/>
        <v>32</v>
      </c>
      <c r="D74" s="3">
        <v>11</v>
      </c>
      <c r="E74" s="3">
        <v>21</v>
      </c>
      <c r="L74" s="3">
        <f t="shared" si="7"/>
        <v>18</v>
      </c>
      <c r="N74" s="12">
        <v>14</v>
      </c>
      <c r="P74" s="12">
        <v>1</v>
      </c>
    </row>
    <row r="75" spans="1:16" ht="12.75">
      <c r="A75" s="9"/>
      <c r="B75" s="9" t="s">
        <v>174</v>
      </c>
      <c r="C75" s="3">
        <f t="shared" si="6"/>
        <v>28</v>
      </c>
      <c r="D75" s="3">
        <v>2</v>
      </c>
      <c r="E75" s="3">
        <v>26</v>
      </c>
      <c r="H75" s="3">
        <v>2</v>
      </c>
      <c r="L75" s="3">
        <f t="shared" si="7"/>
        <v>10</v>
      </c>
      <c r="N75" s="12">
        <v>18</v>
      </c>
      <c r="P75" s="12">
        <v>6</v>
      </c>
    </row>
    <row r="76" spans="1:16" ht="12.75">
      <c r="A76" s="9"/>
      <c r="B76" s="9" t="s">
        <v>143</v>
      </c>
      <c r="C76" s="3">
        <f t="shared" si="6"/>
        <v>44</v>
      </c>
      <c r="D76" s="3">
        <v>11</v>
      </c>
      <c r="E76" s="3">
        <v>33</v>
      </c>
      <c r="H76" s="3">
        <v>2</v>
      </c>
      <c r="L76" s="3">
        <f t="shared" si="7"/>
        <v>17</v>
      </c>
      <c r="N76" s="12">
        <f>6+21</f>
        <v>27</v>
      </c>
      <c r="P76" s="12">
        <v>20</v>
      </c>
    </row>
    <row r="77" spans="1:16" ht="12.75">
      <c r="A77" s="9"/>
      <c r="B77" s="9" t="s">
        <v>185</v>
      </c>
      <c r="C77" s="3">
        <f t="shared" si="6"/>
        <v>22</v>
      </c>
      <c r="D77" s="3">
        <v>2</v>
      </c>
      <c r="E77" s="3">
        <v>20</v>
      </c>
      <c r="H77" s="3">
        <v>1</v>
      </c>
      <c r="L77" s="3">
        <f t="shared" si="7"/>
        <v>1</v>
      </c>
      <c r="N77" s="12">
        <v>21</v>
      </c>
      <c r="P77" s="12">
        <v>8</v>
      </c>
    </row>
    <row r="78" spans="2:16" ht="12" customHeight="1">
      <c r="B78" s="3" t="s">
        <v>137</v>
      </c>
      <c r="C78" s="3">
        <f t="shared" si="6"/>
        <v>40</v>
      </c>
      <c r="D78" s="3">
        <v>21</v>
      </c>
      <c r="E78" s="3">
        <v>19</v>
      </c>
      <c r="L78" s="3">
        <f t="shared" si="7"/>
        <v>24</v>
      </c>
      <c r="N78" s="3">
        <f>10+6</f>
        <v>16</v>
      </c>
      <c r="P78" s="3">
        <v>5</v>
      </c>
    </row>
    <row r="79" spans="2:16" ht="12" customHeight="1">
      <c r="B79" s="9" t="s">
        <v>71</v>
      </c>
      <c r="C79" s="3">
        <f>D79+E79</f>
        <v>63</v>
      </c>
      <c r="D79" s="3">
        <v>13</v>
      </c>
      <c r="E79" s="3">
        <v>50</v>
      </c>
      <c r="H79" s="3">
        <v>3</v>
      </c>
      <c r="I79" s="3">
        <v>1</v>
      </c>
      <c r="J79" s="3">
        <v>1</v>
      </c>
      <c r="L79" s="3">
        <f>(C79-N79)</f>
        <v>40</v>
      </c>
      <c r="N79" s="3">
        <f>5+18</f>
        <v>23</v>
      </c>
      <c r="P79" s="3">
        <v>10</v>
      </c>
    </row>
    <row r="80" spans="2:16" ht="12" customHeight="1">
      <c r="B80" s="9" t="s">
        <v>175</v>
      </c>
      <c r="C80" s="3">
        <f>D80+E80</f>
        <v>28</v>
      </c>
      <c r="D80" s="3">
        <v>3</v>
      </c>
      <c r="E80" s="3">
        <v>25</v>
      </c>
      <c r="G80" s="3">
        <v>1</v>
      </c>
      <c r="I80" s="3">
        <v>1</v>
      </c>
      <c r="J80" s="3">
        <v>1</v>
      </c>
      <c r="L80" s="3">
        <f>(C80-N80)</f>
        <v>6</v>
      </c>
      <c r="N80" s="3">
        <f>3+19</f>
        <v>22</v>
      </c>
      <c r="P80" s="3">
        <v>15</v>
      </c>
    </row>
    <row r="82" spans="1:16" ht="12.75">
      <c r="A82" s="9" t="s">
        <v>4</v>
      </c>
      <c r="C82" s="3">
        <f>SUM(C71:C80)</f>
        <v>640</v>
      </c>
      <c r="D82" s="3">
        <f>SUM(D71:D80)</f>
        <v>196</v>
      </c>
      <c r="E82" s="3">
        <f>SUM(E71:E80)</f>
        <v>444</v>
      </c>
      <c r="G82" s="3">
        <f>SUM(G71:G80)</f>
        <v>5</v>
      </c>
      <c r="H82" s="3">
        <f>SUM(H71:H80)</f>
        <v>34</v>
      </c>
      <c r="I82" s="3">
        <f>SUM(I71:I80)</f>
        <v>12</v>
      </c>
      <c r="J82" s="3">
        <f>SUM(J71:J80)</f>
        <v>15</v>
      </c>
      <c r="L82" s="3">
        <f>SUM(L71:L80)</f>
        <v>397</v>
      </c>
      <c r="N82" s="3">
        <f>SUM(N71:N80)</f>
        <v>243</v>
      </c>
      <c r="P82" s="3">
        <f>SUM(P71:P80)</f>
        <v>95</v>
      </c>
    </row>
    <row r="84" ht="12.75">
      <c r="A84" s="18" t="s">
        <v>176</v>
      </c>
    </row>
    <row r="85" ht="12.75">
      <c r="A85" s="19"/>
    </row>
    <row r="86" spans="8:16" ht="12.75">
      <c r="H86" s="4" t="s">
        <v>1</v>
      </c>
      <c r="N86" s="5" t="s">
        <v>2</v>
      </c>
      <c r="P86" s="5" t="s">
        <v>3</v>
      </c>
    </row>
    <row r="87" spans="1:16" ht="12.75">
      <c r="A87" s="4" t="s">
        <v>72</v>
      </c>
      <c r="B87" s="6"/>
      <c r="C87" s="7" t="s">
        <v>4</v>
      </c>
      <c r="D87" s="7" t="s">
        <v>5</v>
      </c>
      <c r="E87" s="7" t="s">
        <v>6</v>
      </c>
      <c r="F87" s="6"/>
      <c r="G87" s="7" t="s">
        <v>7</v>
      </c>
      <c r="H87" s="7" t="s">
        <v>8</v>
      </c>
      <c r="I87" s="7" t="s">
        <v>9</v>
      </c>
      <c r="J87" s="7" t="s">
        <v>10</v>
      </c>
      <c r="K87" s="6"/>
      <c r="L87" s="8" t="s">
        <v>11</v>
      </c>
      <c r="M87" s="6"/>
      <c r="N87" s="8" t="s">
        <v>12</v>
      </c>
      <c r="O87" s="6"/>
      <c r="P87" s="8" t="s">
        <v>13</v>
      </c>
    </row>
    <row r="88" spans="2:16" ht="12" customHeight="1">
      <c r="B88" s="9" t="s">
        <v>74</v>
      </c>
      <c r="C88" s="3">
        <f aca="true" t="shared" si="8" ref="C88:C107">D88+E88</f>
        <v>19</v>
      </c>
      <c r="D88" s="3">
        <v>4</v>
      </c>
      <c r="E88" s="3">
        <v>15</v>
      </c>
      <c r="H88" s="3">
        <v>1</v>
      </c>
      <c r="I88" s="3">
        <v>1</v>
      </c>
      <c r="J88" s="3">
        <v>2</v>
      </c>
      <c r="L88" s="3">
        <f>(C88-N88)</f>
        <v>10</v>
      </c>
      <c r="N88" s="3">
        <v>9</v>
      </c>
      <c r="P88" s="3">
        <v>1</v>
      </c>
    </row>
    <row r="89" spans="2:12" ht="12" customHeight="1">
      <c r="B89" s="9" t="s">
        <v>118</v>
      </c>
      <c r="C89" s="3">
        <f t="shared" si="8"/>
        <v>0</v>
      </c>
      <c r="D89" s="3">
        <v>0</v>
      </c>
      <c r="E89" s="3">
        <v>0</v>
      </c>
      <c r="L89" s="3">
        <f>(C89-N89)</f>
        <v>0</v>
      </c>
    </row>
    <row r="90" spans="2:16" ht="12" customHeight="1">
      <c r="B90" s="9" t="s">
        <v>144</v>
      </c>
      <c r="C90" s="3">
        <f t="shared" si="8"/>
        <v>68</v>
      </c>
      <c r="D90" s="3">
        <v>36</v>
      </c>
      <c r="E90" s="3">
        <v>32</v>
      </c>
      <c r="H90" s="3">
        <v>1</v>
      </c>
      <c r="I90" s="3">
        <v>1</v>
      </c>
      <c r="L90" s="3">
        <f aca="true" t="shared" si="9" ref="L90:L107">(C90-N90)</f>
        <v>19</v>
      </c>
      <c r="N90" s="3">
        <f>27+22</f>
        <v>49</v>
      </c>
      <c r="P90" s="3">
        <f>22+18</f>
        <v>40</v>
      </c>
    </row>
    <row r="91" spans="2:12" ht="12" customHeight="1">
      <c r="B91" s="9" t="s">
        <v>145</v>
      </c>
      <c r="C91" s="3">
        <f t="shared" si="8"/>
        <v>0</v>
      </c>
      <c r="D91" s="3">
        <v>0</v>
      </c>
      <c r="E91" s="3">
        <v>0</v>
      </c>
      <c r="L91" s="3">
        <f t="shared" si="9"/>
        <v>0</v>
      </c>
    </row>
    <row r="92" spans="2:16" ht="12" customHeight="1">
      <c r="B92" s="9" t="s">
        <v>77</v>
      </c>
      <c r="C92" s="3">
        <f t="shared" si="8"/>
        <v>183</v>
      </c>
      <c r="D92" s="3">
        <v>119</v>
      </c>
      <c r="E92" s="3">
        <v>64</v>
      </c>
      <c r="I92" s="3">
        <v>2</v>
      </c>
      <c r="J92" s="3">
        <v>2</v>
      </c>
      <c r="L92" s="3">
        <f t="shared" si="9"/>
        <v>23</v>
      </c>
      <c r="N92" s="3">
        <f>98+62</f>
        <v>160</v>
      </c>
      <c r="P92" s="3">
        <f>60+39</f>
        <v>99</v>
      </c>
    </row>
    <row r="93" spans="2:16" ht="12" customHeight="1">
      <c r="B93" s="9" t="s">
        <v>78</v>
      </c>
      <c r="C93" s="3">
        <f t="shared" si="8"/>
        <v>120</v>
      </c>
      <c r="D93" s="3">
        <v>89</v>
      </c>
      <c r="E93" s="3">
        <v>31</v>
      </c>
      <c r="H93" s="3">
        <v>1</v>
      </c>
      <c r="J93" s="3">
        <v>1</v>
      </c>
      <c r="L93" s="3">
        <f t="shared" si="9"/>
        <v>21</v>
      </c>
      <c r="N93" s="3">
        <f>75+24</f>
        <v>99</v>
      </c>
      <c r="P93" s="3">
        <f>61+24</f>
        <v>85</v>
      </c>
    </row>
    <row r="94" spans="2:16" ht="12" customHeight="1">
      <c r="B94" s="9" t="s">
        <v>179</v>
      </c>
      <c r="C94" s="3">
        <f t="shared" si="8"/>
        <v>26</v>
      </c>
      <c r="D94" s="3">
        <v>17</v>
      </c>
      <c r="E94" s="3">
        <v>9</v>
      </c>
      <c r="G94" s="3">
        <v>1</v>
      </c>
      <c r="H94" s="3">
        <v>1</v>
      </c>
      <c r="L94" s="3">
        <f t="shared" si="9"/>
        <v>8</v>
      </c>
      <c r="N94" s="3">
        <f>11+7</f>
        <v>18</v>
      </c>
      <c r="P94" s="3">
        <v>5</v>
      </c>
    </row>
    <row r="95" spans="2:16" ht="12" customHeight="1">
      <c r="B95" s="9" t="s">
        <v>146</v>
      </c>
      <c r="C95" s="3">
        <f t="shared" si="8"/>
        <v>60</v>
      </c>
      <c r="D95" s="3">
        <v>37</v>
      </c>
      <c r="E95" s="3">
        <v>23</v>
      </c>
      <c r="L95" s="3">
        <f t="shared" si="9"/>
        <v>8</v>
      </c>
      <c r="N95" s="3">
        <f>30+22</f>
        <v>52</v>
      </c>
      <c r="P95" s="3">
        <f>26+21</f>
        <v>47</v>
      </c>
    </row>
    <row r="96" spans="2:16" ht="12" customHeight="1">
      <c r="B96" s="9" t="s">
        <v>80</v>
      </c>
      <c r="C96" s="3">
        <f t="shared" si="8"/>
        <v>117</v>
      </c>
      <c r="D96" s="3">
        <v>29</v>
      </c>
      <c r="E96" s="3">
        <v>88</v>
      </c>
      <c r="H96" s="3">
        <v>6</v>
      </c>
      <c r="J96" s="3">
        <v>2</v>
      </c>
      <c r="L96" s="3">
        <f t="shared" si="9"/>
        <v>54</v>
      </c>
      <c r="N96" s="3">
        <f>19+44</f>
        <v>63</v>
      </c>
      <c r="P96" s="3">
        <f>8+13</f>
        <v>21</v>
      </c>
    </row>
    <row r="97" spans="2:16" ht="12" customHeight="1">
      <c r="B97" s="9" t="s">
        <v>182</v>
      </c>
      <c r="C97" s="3">
        <f t="shared" si="8"/>
        <v>41</v>
      </c>
      <c r="D97" s="3">
        <v>29</v>
      </c>
      <c r="E97" s="3">
        <v>12</v>
      </c>
      <c r="L97" s="3">
        <f t="shared" si="9"/>
        <v>8</v>
      </c>
      <c r="N97" s="3">
        <v>33</v>
      </c>
      <c r="P97" s="3">
        <f>16+10</f>
        <v>26</v>
      </c>
    </row>
    <row r="98" spans="2:16" ht="12" customHeight="1">
      <c r="B98" s="9" t="s">
        <v>147</v>
      </c>
      <c r="C98" s="3">
        <f t="shared" si="8"/>
        <v>35</v>
      </c>
      <c r="D98" s="3">
        <v>23</v>
      </c>
      <c r="E98" s="3">
        <v>12</v>
      </c>
      <c r="H98" s="3">
        <v>1</v>
      </c>
      <c r="L98" s="3">
        <f t="shared" si="9"/>
        <v>10</v>
      </c>
      <c r="N98" s="3">
        <f>15+10</f>
        <v>25</v>
      </c>
      <c r="P98" s="3">
        <v>15</v>
      </c>
    </row>
    <row r="99" spans="2:16" ht="12" customHeight="1">
      <c r="B99" s="9" t="s">
        <v>85</v>
      </c>
      <c r="C99" s="3">
        <f t="shared" si="8"/>
        <v>40</v>
      </c>
      <c r="D99" s="3">
        <v>25</v>
      </c>
      <c r="E99" s="3">
        <v>15</v>
      </c>
      <c r="J99" s="3">
        <v>1</v>
      </c>
      <c r="L99" s="3">
        <f t="shared" si="9"/>
        <v>30</v>
      </c>
      <c r="N99" s="3">
        <v>10</v>
      </c>
      <c r="P99" s="3">
        <v>2</v>
      </c>
    </row>
    <row r="100" spans="2:16" ht="12" customHeight="1">
      <c r="B100" s="9" t="s">
        <v>87</v>
      </c>
      <c r="C100" s="3">
        <f t="shared" si="8"/>
        <v>32</v>
      </c>
      <c r="D100" s="3">
        <v>12</v>
      </c>
      <c r="E100" s="3">
        <v>20</v>
      </c>
      <c r="J100" s="3">
        <v>1</v>
      </c>
      <c r="L100" s="3">
        <f t="shared" si="9"/>
        <v>11</v>
      </c>
      <c r="N100" s="3">
        <v>21</v>
      </c>
      <c r="P100" s="3">
        <f>3+14</f>
        <v>17</v>
      </c>
    </row>
    <row r="101" spans="2:16" ht="12" customHeight="1">
      <c r="B101" s="9" t="s">
        <v>90</v>
      </c>
      <c r="C101" s="3">
        <f t="shared" si="8"/>
        <v>70</v>
      </c>
      <c r="D101" s="3">
        <v>48</v>
      </c>
      <c r="E101" s="3">
        <v>22</v>
      </c>
      <c r="I101" s="3">
        <v>1</v>
      </c>
      <c r="L101" s="3">
        <f t="shared" si="9"/>
        <v>20</v>
      </c>
      <c r="N101" s="3">
        <f>37+13</f>
        <v>50</v>
      </c>
      <c r="P101" s="3">
        <f>21+7</f>
        <v>28</v>
      </c>
    </row>
    <row r="102" spans="2:16" ht="12" customHeight="1">
      <c r="B102" s="9" t="s">
        <v>148</v>
      </c>
      <c r="C102" s="3">
        <f t="shared" si="8"/>
        <v>98</v>
      </c>
      <c r="D102" s="3">
        <v>82</v>
      </c>
      <c r="E102" s="3">
        <v>16</v>
      </c>
      <c r="I102" s="3">
        <v>1</v>
      </c>
      <c r="L102" s="3">
        <f t="shared" si="9"/>
        <v>19</v>
      </c>
      <c r="N102" s="3">
        <f>65+14</f>
        <v>79</v>
      </c>
      <c r="P102" s="3">
        <f>47+11</f>
        <v>58</v>
      </c>
    </row>
    <row r="103" spans="2:16" ht="12" customHeight="1">
      <c r="B103" s="9" t="s">
        <v>97</v>
      </c>
      <c r="C103" s="3">
        <f t="shared" si="8"/>
        <v>64</v>
      </c>
      <c r="D103" s="3">
        <v>41</v>
      </c>
      <c r="E103" s="3">
        <v>23</v>
      </c>
      <c r="H103" s="3">
        <v>2</v>
      </c>
      <c r="I103" s="3">
        <v>3</v>
      </c>
      <c r="L103" s="3">
        <f t="shared" si="9"/>
        <v>53</v>
      </c>
      <c r="N103" s="3">
        <v>11</v>
      </c>
      <c r="P103" s="3">
        <v>5</v>
      </c>
    </row>
    <row r="104" spans="2:16" ht="12" customHeight="1">
      <c r="B104" s="9" t="s">
        <v>101</v>
      </c>
      <c r="C104" s="3">
        <f t="shared" si="8"/>
        <v>67</v>
      </c>
      <c r="D104" s="3">
        <v>25</v>
      </c>
      <c r="E104" s="3">
        <v>42</v>
      </c>
      <c r="H104" s="3">
        <v>2</v>
      </c>
      <c r="J104" s="3">
        <v>1</v>
      </c>
      <c r="L104" s="3">
        <f t="shared" si="9"/>
        <v>24</v>
      </c>
      <c r="N104" s="3">
        <f>15+28</f>
        <v>43</v>
      </c>
      <c r="P104" s="3">
        <v>8</v>
      </c>
    </row>
    <row r="105" spans="2:16" ht="12" customHeight="1">
      <c r="B105" s="9" t="s">
        <v>149</v>
      </c>
      <c r="C105" s="3">
        <f t="shared" si="8"/>
        <v>34</v>
      </c>
      <c r="D105" s="3">
        <v>16</v>
      </c>
      <c r="E105" s="3">
        <v>18</v>
      </c>
      <c r="G105" s="3">
        <v>2</v>
      </c>
      <c r="H105" s="3">
        <v>2</v>
      </c>
      <c r="L105" s="3">
        <f t="shared" si="9"/>
        <v>15</v>
      </c>
      <c r="N105" s="3">
        <v>19</v>
      </c>
      <c r="P105" s="3">
        <v>8</v>
      </c>
    </row>
    <row r="106" spans="2:16" ht="12" customHeight="1">
      <c r="B106" s="9" t="s">
        <v>106</v>
      </c>
      <c r="C106" s="3">
        <f t="shared" si="8"/>
        <v>110</v>
      </c>
      <c r="D106" s="3">
        <v>53</v>
      </c>
      <c r="E106" s="3">
        <v>57</v>
      </c>
      <c r="H106" s="3">
        <v>1</v>
      </c>
      <c r="I106" s="3">
        <v>4</v>
      </c>
      <c r="L106" s="3">
        <f t="shared" si="9"/>
        <v>11</v>
      </c>
      <c r="N106" s="3">
        <f>44+55</f>
        <v>99</v>
      </c>
      <c r="P106" s="3">
        <f>24+33</f>
        <v>57</v>
      </c>
    </row>
    <row r="107" spans="2:12" ht="12" customHeight="1">
      <c r="B107" s="9" t="s">
        <v>150</v>
      </c>
      <c r="C107" s="3">
        <f t="shared" si="8"/>
        <v>0</v>
      </c>
      <c r="D107" s="3">
        <v>0</v>
      </c>
      <c r="E107" s="3">
        <v>0</v>
      </c>
      <c r="L107" s="3">
        <f t="shared" si="9"/>
        <v>0</v>
      </c>
    </row>
    <row r="109" spans="1:16" ht="12.75">
      <c r="A109" s="9" t="s">
        <v>4</v>
      </c>
      <c r="C109" s="3">
        <f>SUM(C88:C107)</f>
        <v>1184</v>
      </c>
      <c r="D109" s="3">
        <f>SUM(D88:D107)</f>
        <v>685</v>
      </c>
      <c r="E109" s="3">
        <f>SUM(E88:E107)</f>
        <v>499</v>
      </c>
      <c r="G109" s="3">
        <f>SUM(G88:G107)</f>
        <v>3</v>
      </c>
      <c r="H109" s="3">
        <f>SUM(H88:H107)</f>
        <v>18</v>
      </c>
      <c r="I109" s="3">
        <f>SUM(I88:I107)</f>
        <v>13</v>
      </c>
      <c r="J109" s="3">
        <f>SUM(J88:J107)</f>
        <v>10</v>
      </c>
      <c r="L109" s="3">
        <f>SUM(L88:L107)</f>
        <v>344</v>
      </c>
      <c r="N109" s="3">
        <f>SUM(N88:N107)</f>
        <v>840</v>
      </c>
      <c r="P109" s="3">
        <f>SUM(P88:P107)</f>
        <v>522</v>
      </c>
    </row>
    <row r="110" spans="1:17" ht="12.75">
      <c r="A110" s="21" t="s">
        <v>188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3" spans="8:16" ht="12.75">
      <c r="H113" s="4" t="s">
        <v>1</v>
      </c>
      <c r="N113" s="5" t="s">
        <v>2</v>
      </c>
      <c r="P113" s="5" t="s">
        <v>3</v>
      </c>
    </row>
    <row r="114" spans="1:16" ht="12.75">
      <c r="A114" s="4" t="s">
        <v>108</v>
      </c>
      <c r="B114" s="6"/>
      <c r="C114" s="7" t="s">
        <v>4</v>
      </c>
      <c r="D114" s="7" t="s">
        <v>5</v>
      </c>
      <c r="E114" s="7" t="s">
        <v>6</v>
      </c>
      <c r="F114" s="6"/>
      <c r="G114" s="7" t="s">
        <v>7</v>
      </c>
      <c r="H114" s="7" t="s">
        <v>8</v>
      </c>
      <c r="I114" s="7" t="s">
        <v>9</v>
      </c>
      <c r="J114" s="7" t="s">
        <v>10</v>
      </c>
      <c r="K114" s="6"/>
      <c r="L114" s="8" t="s">
        <v>11</v>
      </c>
      <c r="M114" s="6"/>
      <c r="N114" s="8" t="s">
        <v>12</v>
      </c>
      <c r="O114" s="6"/>
      <c r="P114" s="8" t="s">
        <v>13</v>
      </c>
    </row>
    <row r="115" spans="2:16" ht="12" customHeight="1">
      <c r="B115" s="9" t="s">
        <v>151</v>
      </c>
      <c r="C115" s="3">
        <f>D115+E115</f>
        <v>21</v>
      </c>
      <c r="D115" s="3">
        <v>9</v>
      </c>
      <c r="E115" s="3">
        <v>12</v>
      </c>
      <c r="H115" s="3">
        <v>1</v>
      </c>
      <c r="I115" s="3">
        <v>1</v>
      </c>
      <c r="L115" s="3">
        <f>(C115-N115)</f>
        <v>7</v>
      </c>
      <c r="N115" s="3">
        <v>14</v>
      </c>
      <c r="P115" s="3">
        <v>12</v>
      </c>
    </row>
    <row r="116" spans="2:14" ht="12" customHeight="1">
      <c r="B116" s="9" t="s">
        <v>152</v>
      </c>
      <c r="C116" s="3">
        <f>D116+E116</f>
        <v>1</v>
      </c>
      <c r="D116" s="3">
        <v>0</v>
      </c>
      <c r="E116" s="3">
        <v>1</v>
      </c>
      <c r="L116" s="3">
        <f>(C116-N116)</f>
        <v>0</v>
      </c>
      <c r="N116" s="3">
        <v>1</v>
      </c>
    </row>
    <row r="117" spans="2:16" ht="12" customHeight="1">
      <c r="B117" s="9" t="s">
        <v>153</v>
      </c>
      <c r="C117" s="3">
        <f>D117+E117</f>
        <v>9</v>
      </c>
      <c r="D117" s="3">
        <v>5</v>
      </c>
      <c r="E117" s="3">
        <v>4</v>
      </c>
      <c r="J117" s="3">
        <v>1</v>
      </c>
      <c r="L117" s="3">
        <f>(C117-N117)</f>
        <v>8</v>
      </c>
      <c r="N117" s="3">
        <v>1</v>
      </c>
      <c r="P117" s="3">
        <v>1</v>
      </c>
    </row>
    <row r="118" spans="2:16" ht="12" customHeight="1">
      <c r="B118" s="9" t="s">
        <v>154</v>
      </c>
      <c r="C118" s="3">
        <f>D118+E118</f>
        <v>41</v>
      </c>
      <c r="D118" s="3">
        <v>22</v>
      </c>
      <c r="E118" s="3">
        <v>19</v>
      </c>
      <c r="J118" s="3">
        <v>2</v>
      </c>
      <c r="L118" s="3">
        <f>(C118-N118)</f>
        <v>22</v>
      </c>
      <c r="N118" s="3">
        <f>12+7</f>
        <v>19</v>
      </c>
      <c r="P118" s="3">
        <v>15</v>
      </c>
    </row>
    <row r="119" spans="2:16" ht="12" customHeight="1">
      <c r="B119" s="9" t="s">
        <v>155</v>
      </c>
      <c r="C119" s="3">
        <f>D119+E119</f>
        <v>12</v>
      </c>
      <c r="D119" s="3">
        <v>4</v>
      </c>
      <c r="E119" s="3">
        <v>8</v>
      </c>
      <c r="L119" s="3">
        <f>(C119-N119)</f>
        <v>7</v>
      </c>
      <c r="N119" s="3">
        <v>5</v>
      </c>
      <c r="P119" s="3">
        <v>3</v>
      </c>
    </row>
    <row r="121" spans="1:16" ht="12.75">
      <c r="A121" s="9" t="s">
        <v>4</v>
      </c>
      <c r="C121" s="3">
        <f>SUM(C115:C119)</f>
        <v>84</v>
      </c>
      <c r="D121" s="3">
        <f>SUM(D115:D119)</f>
        <v>40</v>
      </c>
      <c r="E121" s="3">
        <f>SUM(E115:E119)</f>
        <v>44</v>
      </c>
      <c r="G121" s="3">
        <f>SUM(G115:G119)</f>
        <v>0</v>
      </c>
      <c r="H121" s="3">
        <f>SUM(H115:H119)</f>
        <v>1</v>
      </c>
      <c r="I121" s="3">
        <f>SUM(I115:I119)</f>
        <v>1</v>
      </c>
      <c r="J121" s="3">
        <f>SUM(J115:J119)</f>
        <v>3</v>
      </c>
      <c r="L121" s="3">
        <f>SUM(L115:L119)</f>
        <v>44</v>
      </c>
      <c r="N121" s="3">
        <f>SUM(N115:N119)</f>
        <v>40</v>
      </c>
      <c r="P121" s="3">
        <f>SUM(P115:P119)</f>
        <v>31</v>
      </c>
    </row>
    <row r="125" spans="1:16" ht="12.75">
      <c r="A125" s="9" t="s">
        <v>156</v>
      </c>
      <c r="H125" s="4" t="s">
        <v>1</v>
      </c>
      <c r="N125" s="5" t="s">
        <v>2</v>
      </c>
      <c r="P125" s="5" t="s">
        <v>3</v>
      </c>
    </row>
    <row r="126" spans="1:16" ht="12.75">
      <c r="A126" s="4" t="s">
        <v>157</v>
      </c>
      <c r="B126" s="6"/>
      <c r="C126" s="7" t="s">
        <v>4</v>
      </c>
      <c r="D126" s="7" t="s">
        <v>5</v>
      </c>
      <c r="E126" s="7" t="s">
        <v>6</v>
      </c>
      <c r="F126" s="6"/>
      <c r="G126" s="7" t="s">
        <v>7</v>
      </c>
      <c r="H126" s="7" t="s">
        <v>8</v>
      </c>
      <c r="I126" s="7" t="s">
        <v>9</v>
      </c>
      <c r="J126" s="7" t="s">
        <v>10</v>
      </c>
      <c r="K126" s="6"/>
      <c r="L126" s="8" t="s">
        <v>11</v>
      </c>
      <c r="M126" s="6"/>
      <c r="N126" s="8" t="s">
        <v>12</v>
      </c>
      <c r="O126" s="6"/>
      <c r="P126" s="8" t="s">
        <v>13</v>
      </c>
    </row>
    <row r="127" spans="2:16" ht="12" customHeight="1">
      <c r="B127" s="9" t="s">
        <v>158</v>
      </c>
      <c r="C127" s="3">
        <f aca="true" t="shared" si="10" ref="C127:C143">D127+E127</f>
        <v>547</v>
      </c>
      <c r="D127" s="3">
        <v>355</v>
      </c>
      <c r="E127" s="3">
        <v>192</v>
      </c>
      <c r="G127" s="3">
        <v>9</v>
      </c>
      <c r="H127" s="3">
        <v>21</v>
      </c>
      <c r="I127" s="3">
        <v>12</v>
      </c>
      <c r="J127" s="3">
        <v>9</v>
      </c>
      <c r="L127" s="3">
        <f aca="true" t="shared" si="11" ref="L127:L141">(C127-N127)</f>
        <v>379</v>
      </c>
      <c r="N127" s="3">
        <f>106+62</f>
        <v>168</v>
      </c>
      <c r="P127" s="3">
        <f>15+16</f>
        <v>31</v>
      </c>
    </row>
    <row r="128" spans="2:16" ht="12" customHeight="1">
      <c r="B128" s="9" t="s">
        <v>183</v>
      </c>
      <c r="C128" s="3">
        <f t="shared" si="10"/>
        <v>7</v>
      </c>
      <c r="D128" s="3">
        <v>4</v>
      </c>
      <c r="E128" s="3">
        <v>3</v>
      </c>
      <c r="L128" s="3">
        <f t="shared" si="11"/>
        <v>0</v>
      </c>
      <c r="N128" s="3">
        <v>7</v>
      </c>
      <c r="P128" s="3">
        <v>6</v>
      </c>
    </row>
    <row r="129" spans="2:16" ht="12" customHeight="1">
      <c r="B129" s="9" t="s">
        <v>159</v>
      </c>
      <c r="C129" s="3">
        <f t="shared" si="10"/>
        <v>8</v>
      </c>
      <c r="D129" s="3">
        <v>5</v>
      </c>
      <c r="E129" s="3">
        <v>3</v>
      </c>
      <c r="I129" s="3">
        <v>1</v>
      </c>
      <c r="L129" s="3">
        <f t="shared" si="11"/>
        <v>0</v>
      </c>
      <c r="N129" s="3">
        <v>8</v>
      </c>
      <c r="P129" s="3">
        <v>6</v>
      </c>
    </row>
    <row r="130" spans="2:12" ht="12" customHeight="1">
      <c r="B130" s="9" t="s">
        <v>160</v>
      </c>
      <c r="C130" s="3">
        <f>D130+E130</f>
        <v>1</v>
      </c>
      <c r="D130" s="3">
        <v>1</v>
      </c>
      <c r="E130" s="3">
        <v>0</v>
      </c>
      <c r="H130" s="3">
        <v>1</v>
      </c>
      <c r="L130" s="3">
        <f>(C130-N130)</f>
        <v>1</v>
      </c>
    </row>
    <row r="131" spans="2:16" ht="12" customHeight="1">
      <c r="B131" s="9" t="s">
        <v>179</v>
      </c>
      <c r="C131" s="3">
        <f t="shared" si="10"/>
        <v>11</v>
      </c>
      <c r="D131" s="3">
        <v>3</v>
      </c>
      <c r="E131" s="3">
        <v>8</v>
      </c>
      <c r="L131" s="3">
        <f t="shared" si="11"/>
        <v>1</v>
      </c>
      <c r="N131" s="3">
        <v>10</v>
      </c>
      <c r="P131" s="3">
        <v>3</v>
      </c>
    </row>
    <row r="132" spans="2:16" ht="12.75">
      <c r="B132" s="9" t="s">
        <v>161</v>
      </c>
      <c r="C132" s="3">
        <f t="shared" si="10"/>
        <v>11</v>
      </c>
      <c r="D132" s="3">
        <v>3</v>
      </c>
      <c r="E132" s="3">
        <v>8</v>
      </c>
      <c r="H132" s="3">
        <v>1</v>
      </c>
      <c r="L132" s="3">
        <f t="shared" si="11"/>
        <v>0</v>
      </c>
      <c r="N132" s="3">
        <v>11</v>
      </c>
      <c r="P132" s="3">
        <v>8</v>
      </c>
    </row>
    <row r="133" spans="2:16" ht="12.75">
      <c r="B133" s="9" t="s">
        <v>180</v>
      </c>
      <c r="C133" s="3">
        <f t="shared" si="10"/>
        <v>4</v>
      </c>
      <c r="D133" s="3">
        <v>0</v>
      </c>
      <c r="E133" s="3">
        <v>4</v>
      </c>
      <c r="L133" s="3">
        <f t="shared" si="11"/>
        <v>2</v>
      </c>
      <c r="N133" s="3">
        <v>2</v>
      </c>
      <c r="P133" s="3">
        <v>2</v>
      </c>
    </row>
    <row r="134" spans="2:16" ht="12.75">
      <c r="B134" s="9" t="s">
        <v>184</v>
      </c>
      <c r="C134" s="3">
        <f t="shared" si="10"/>
        <v>10</v>
      </c>
      <c r="D134" s="3">
        <v>8</v>
      </c>
      <c r="E134" s="3">
        <v>2</v>
      </c>
      <c r="L134" s="3">
        <f t="shared" si="11"/>
        <v>4</v>
      </c>
      <c r="N134" s="3">
        <v>6</v>
      </c>
      <c r="P134" s="3">
        <v>2</v>
      </c>
    </row>
    <row r="135" spans="2:16" ht="12.75">
      <c r="B135" s="9" t="s">
        <v>162</v>
      </c>
      <c r="C135" s="3">
        <f t="shared" si="10"/>
        <v>3</v>
      </c>
      <c r="D135" s="3">
        <v>1</v>
      </c>
      <c r="E135" s="3">
        <v>2</v>
      </c>
      <c r="J135" s="3">
        <v>1</v>
      </c>
      <c r="L135" s="3">
        <f t="shared" si="11"/>
        <v>0</v>
      </c>
      <c r="N135" s="3">
        <v>3</v>
      </c>
      <c r="P135" s="3">
        <v>1</v>
      </c>
    </row>
    <row r="136" spans="2:16" ht="12" customHeight="1">
      <c r="B136" s="9" t="s">
        <v>163</v>
      </c>
      <c r="C136" s="3">
        <f t="shared" si="10"/>
        <v>2</v>
      </c>
      <c r="D136" s="3">
        <v>0</v>
      </c>
      <c r="E136" s="3">
        <v>2</v>
      </c>
      <c r="L136" s="3">
        <f t="shared" si="11"/>
        <v>1</v>
      </c>
      <c r="N136" s="3">
        <v>1</v>
      </c>
      <c r="P136" s="3">
        <v>1</v>
      </c>
    </row>
    <row r="137" spans="2:14" ht="12" customHeight="1">
      <c r="B137" s="9" t="s">
        <v>171</v>
      </c>
      <c r="C137" s="3">
        <f>D137+E137</f>
        <v>5</v>
      </c>
      <c r="D137" s="3">
        <v>4</v>
      </c>
      <c r="E137" s="3">
        <v>1</v>
      </c>
      <c r="H137" s="3">
        <v>1</v>
      </c>
      <c r="L137" s="3">
        <f>(C137-N137)</f>
        <v>3</v>
      </c>
      <c r="N137" s="3">
        <v>2</v>
      </c>
    </row>
    <row r="138" spans="2:16" ht="12" customHeight="1">
      <c r="B138" s="9" t="s">
        <v>164</v>
      </c>
      <c r="C138" s="3">
        <f t="shared" si="10"/>
        <v>59</v>
      </c>
      <c r="D138" s="3">
        <v>20</v>
      </c>
      <c r="E138" s="3">
        <v>39</v>
      </c>
      <c r="G138" s="3">
        <v>1</v>
      </c>
      <c r="H138" s="3">
        <v>13</v>
      </c>
      <c r="I138" s="3">
        <v>3</v>
      </c>
      <c r="J138" s="3">
        <v>5</v>
      </c>
      <c r="L138" s="3">
        <f t="shared" si="11"/>
        <v>41</v>
      </c>
      <c r="N138" s="3">
        <v>18</v>
      </c>
      <c r="P138" s="3">
        <v>6</v>
      </c>
    </row>
    <row r="139" spans="2:16" ht="12" customHeight="1">
      <c r="B139" s="9" t="s">
        <v>165</v>
      </c>
      <c r="C139" s="3">
        <f t="shared" si="10"/>
        <v>7</v>
      </c>
      <c r="D139" s="3">
        <v>4</v>
      </c>
      <c r="E139" s="3">
        <v>3</v>
      </c>
      <c r="J139" s="3">
        <v>1</v>
      </c>
      <c r="L139" s="3">
        <f t="shared" si="11"/>
        <v>0</v>
      </c>
      <c r="N139" s="3">
        <v>7</v>
      </c>
      <c r="P139" s="3">
        <v>4</v>
      </c>
    </row>
    <row r="140" spans="2:16" ht="12" customHeight="1">
      <c r="B140" s="9" t="s">
        <v>166</v>
      </c>
      <c r="C140" s="3">
        <f t="shared" si="10"/>
        <v>12</v>
      </c>
      <c r="D140" s="3">
        <v>5</v>
      </c>
      <c r="E140" s="3">
        <v>7</v>
      </c>
      <c r="I140" s="3">
        <v>1</v>
      </c>
      <c r="L140" s="3">
        <f t="shared" si="11"/>
        <v>6</v>
      </c>
      <c r="N140" s="3">
        <v>6</v>
      </c>
      <c r="P140" s="3">
        <v>5</v>
      </c>
    </row>
    <row r="141" spans="2:16" ht="12" customHeight="1">
      <c r="B141" s="9" t="s">
        <v>167</v>
      </c>
      <c r="C141" s="3">
        <f t="shared" si="10"/>
        <v>2</v>
      </c>
      <c r="D141" s="3">
        <v>2</v>
      </c>
      <c r="E141" s="3">
        <v>0</v>
      </c>
      <c r="L141" s="3">
        <f t="shared" si="11"/>
        <v>0</v>
      </c>
      <c r="N141" s="3">
        <v>2</v>
      </c>
      <c r="P141" s="3">
        <v>1</v>
      </c>
    </row>
    <row r="142" spans="2:16" ht="12" customHeight="1">
      <c r="B142" s="9" t="s">
        <v>172</v>
      </c>
      <c r="C142" s="3">
        <f t="shared" si="10"/>
        <v>4</v>
      </c>
      <c r="D142" s="3">
        <v>2</v>
      </c>
      <c r="E142" s="3">
        <v>2</v>
      </c>
      <c r="L142" s="3">
        <f>(C142-N142)</f>
        <v>2</v>
      </c>
      <c r="N142" s="3">
        <v>2</v>
      </c>
      <c r="P142" s="3">
        <v>1</v>
      </c>
    </row>
    <row r="143" spans="2:16" ht="12" customHeight="1">
      <c r="B143" s="9" t="s">
        <v>177</v>
      </c>
      <c r="C143" s="3">
        <f t="shared" si="10"/>
        <v>2</v>
      </c>
      <c r="D143" s="3">
        <v>2</v>
      </c>
      <c r="E143" s="3">
        <v>0</v>
      </c>
      <c r="J143" s="3">
        <v>1</v>
      </c>
      <c r="L143" s="3">
        <f>(C143-N143)</f>
        <v>0</v>
      </c>
      <c r="N143" s="3">
        <v>2</v>
      </c>
      <c r="P143" s="3">
        <v>1</v>
      </c>
    </row>
    <row r="145" spans="1:16" ht="12.75">
      <c r="A145" s="9" t="s">
        <v>4</v>
      </c>
      <c r="C145" s="3">
        <f>SUM(C127:C143)</f>
        <v>695</v>
      </c>
      <c r="D145" s="3">
        <f aca="true" t="shared" si="12" ref="D145:P145">SUM(D127:D143)</f>
        <v>419</v>
      </c>
      <c r="E145" s="3">
        <f t="shared" si="12"/>
        <v>276</v>
      </c>
      <c r="F145" s="3">
        <f t="shared" si="12"/>
        <v>0</v>
      </c>
      <c r="G145" s="3">
        <f t="shared" si="12"/>
        <v>10</v>
      </c>
      <c r="H145" s="3">
        <f t="shared" si="12"/>
        <v>37</v>
      </c>
      <c r="I145" s="3">
        <f t="shared" si="12"/>
        <v>17</v>
      </c>
      <c r="J145" s="3">
        <f t="shared" si="12"/>
        <v>17</v>
      </c>
      <c r="L145" s="3">
        <f t="shared" si="12"/>
        <v>440</v>
      </c>
      <c r="N145" s="3">
        <f t="shared" si="12"/>
        <v>255</v>
      </c>
      <c r="P145" s="3">
        <f t="shared" si="12"/>
        <v>78</v>
      </c>
    </row>
    <row r="146" ht="12.75">
      <c r="H146" s="6"/>
    </row>
    <row r="147" ht="12.75">
      <c r="H147" s="6"/>
    </row>
    <row r="148" ht="12.75">
      <c r="H148" s="6"/>
    </row>
    <row r="149" spans="8:16" ht="12.75">
      <c r="H149" s="4" t="s">
        <v>1</v>
      </c>
      <c r="N149" s="5" t="s">
        <v>2</v>
      </c>
      <c r="P149" s="5" t="s">
        <v>3</v>
      </c>
    </row>
    <row r="150" spans="3:16" ht="12.75">
      <c r="C150" s="7" t="s">
        <v>4</v>
      </c>
      <c r="D150" s="7" t="s">
        <v>5</v>
      </c>
      <c r="E150" s="7" t="s">
        <v>6</v>
      </c>
      <c r="F150" s="6"/>
      <c r="G150" s="7" t="s">
        <v>7</v>
      </c>
      <c r="H150" s="7" t="s">
        <v>8</v>
      </c>
      <c r="I150" s="7" t="s">
        <v>9</v>
      </c>
      <c r="J150" s="7" t="s">
        <v>10</v>
      </c>
      <c r="K150" s="6"/>
      <c r="L150" s="8" t="s">
        <v>11</v>
      </c>
      <c r="M150" s="6"/>
      <c r="N150" s="8" t="s">
        <v>12</v>
      </c>
      <c r="O150" s="6"/>
      <c r="P150" s="8" t="s">
        <v>13</v>
      </c>
    </row>
    <row r="152" spans="1:16" ht="12.75">
      <c r="A152" s="9" t="s">
        <v>168</v>
      </c>
      <c r="C152" s="3">
        <f aca="true" t="shared" si="13" ref="C152:J152">C26+C35+C46+C65+C82+C109+C121+C145</f>
        <v>4578</v>
      </c>
      <c r="D152" s="3">
        <f t="shared" si="13"/>
        <v>2683</v>
      </c>
      <c r="E152" s="3">
        <f t="shared" si="13"/>
        <v>1895</v>
      </c>
      <c r="F152" s="3">
        <f t="shared" si="13"/>
        <v>0</v>
      </c>
      <c r="G152" s="3">
        <f t="shared" si="13"/>
        <v>20</v>
      </c>
      <c r="H152" s="3">
        <f t="shared" si="13"/>
        <v>124</v>
      </c>
      <c r="I152" s="3">
        <f t="shared" si="13"/>
        <v>72</v>
      </c>
      <c r="J152" s="3">
        <f t="shared" si="13"/>
        <v>74</v>
      </c>
      <c r="L152" s="3">
        <f>L26+L35+L46+L65+L82+L109+L121+L145</f>
        <v>2042</v>
      </c>
      <c r="N152" s="3">
        <f>N26+N35+N46+N65+N82+N109+N121+N145</f>
        <v>2536</v>
      </c>
      <c r="P152" s="3">
        <f>P26+P35+P46+P65+P82+P109+P121+P145</f>
        <v>1461</v>
      </c>
    </row>
    <row r="159" ht="12.75">
      <c r="A159" s="9" t="s">
        <v>169</v>
      </c>
    </row>
    <row r="160" ht="12.75">
      <c r="B160" s="9" t="s">
        <v>113</v>
      </c>
    </row>
    <row r="161" ht="12.75">
      <c r="B161" s="9" t="s">
        <v>114</v>
      </c>
    </row>
    <row r="162" ht="12.75">
      <c r="B162" s="9" t="s">
        <v>115</v>
      </c>
    </row>
    <row r="163" ht="12.75">
      <c r="B163" s="9" t="s">
        <v>116</v>
      </c>
    </row>
    <row r="165" ht="12.75">
      <c r="A165" s="9" t="s">
        <v>117</v>
      </c>
    </row>
    <row r="167" ht="12.75">
      <c r="A167" s="16"/>
    </row>
    <row r="168" ht="12.75">
      <c r="A168" s="17"/>
    </row>
  </sheetData>
  <mergeCells count="2">
    <mergeCell ref="A50:Q50"/>
    <mergeCell ref="A110:Q110"/>
  </mergeCells>
  <printOptions horizontalCentered="1"/>
  <pageMargins left="0.5" right="0.5" top="0.75" bottom="0.5" header="0.5" footer="0.5"/>
  <pageSetup fitToHeight="0" horizontalDpi="300" verticalDpi="300" orientation="portrait" scale="95" r:id="rId1"/>
  <rowBreaks count="2" manualBreakCount="2">
    <brk id="49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adptemp</cp:lastModifiedBy>
  <cp:lastPrinted>2005-09-08T16:38:24Z</cp:lastPrinted>
  <dcterms:created xsi:type="dcterms:W3CDTF">1999-09-01T19:18:26Z</dcterms:created>
  <dcterms:modified xsi:type="dcterms:W3CDTF">2005-09-08T16:40:29Z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595993964</vt:i4>
  </property>
  <property fmtid="{D5CDD505-2E9C-101B-9397-08002B2CF9AE}" pid="3" name="_EmailSubject">
    <vt:lpwstr>F05 enrollment for web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