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8" activeTab="0"/>
  </bookViews>
  <sheets>
    <sheet name="UGs" sheetId="1" r:id="rId1"/>
    <sheet name="Vet Med" sheetId="2" r:id="rId2"/>
    <sheet name="Grads" sheetId="3" r:id="rId3"/>
  </sheets>
  <definedNames>
    <definedName name="_xlnm.Print_Area" localSheetId="2">'Grads'!$A$1:$Q$162</definedName>
    <definedName name="_xlnm.Print_Area" localSheetId="0">'UGs'!$A$1:$Q$209</definedName>
    <definedName name="_xlnm.Print_Area" localSheetId="1">'Vet Med'!$A$1:$Q$47</definedName>
  </definedNames>
  <calcPr fullCalcOnLoad="1"/>
</workbook>
</file>

<file path=xl/sharedStrings.xml><?xml version="1.0" encoding="utf-8"?>
<sst xmlns="http://schemas.openxmlformats.org/spreadsheetml/2006/main" count="503" uniqueCount="231">
  <si>
    <t>UNDERGRADUATES</t>
  </si>
  <si>
    <t>Minorities*</t>
  </si>
  <si>
    <t>Non-</t>
  </si>
  <si>
    <t>Inter-</t>
  </si>
  <si>
    <t>Total</t>
  </si>
  <si>
    <t>Male</t>
  </si>
  <si>
    <t>Female</t>
  </si>
  <si>
    <t>1</t>
  </si>
  <si>
    <t>2</t>
  </si>
  <si>
    <t>4</t>
  </si>
  <si>
    <t>6</t>
  </si>
  <si>
    <t>Resident</t>
  </si>
  <si>
    <t>resident</t>
  </si>
  <si>
    <t>national**</t>
  </si>
  <si>
    <t>Agricultural Biochemistry</t>
  </si>
  <si>
    <t>Agricultural Business</t>
  </si>
  <si>
    <t>Agricultural Education</t>
  </si>
  <si>
    <t>Agricultural Studies</t>
  </si>
  <si>
    <t>Agronomy</t>
  </si>
  <si>
    <t>Animal Ecology</t>
  </si>
  <si>
    <t>Animal Science</t>
  </si>
  <si>
    <t>Animal Science (Pre-Vet)</t>
  </si>
  <si>
    <t>Dairy Science</t>
  </si>
  <si>
    <t>Dairy Science (Pre-Vet)</t>
  </si>
  <si>
    <t>Entomology</t>
  </si>
  <si>
    <t>Forestry</t>
  </si>
  <si>
    <t>General Preveterinary Medicine</t>
  </si>
  <si>
    <t>Genetics (See also LAS)</t>
  </si>
  <si>
    <t>Horticulture</t>
  </si>
  <si>
    <t>Microbiology</t>
  </si>
  <si>
    <t>Plant Health &amp; Protection</t>
  </si>
  <si>
    <t>Professional Agriculture</t>
  </si>
  <si>
    <t>Zoology (See also LAS)</t>
  </si>
  <si>
    <t>College of Business</t>
  </si>
  <si>
    <t>Business - Undeclared</t>
  </si>
  <si>
    <t>Accounting</t>
  </si>
  <si>
    <t>Finance</t>
  </si>
  <si>
    <t>Management</t>
  </si>
  <si>
    <t>Marketing</t>
  </si>
  <si>
    <t>Pre-Business</t>
  </si>
  <si>
    <t>College of Design</t>
  </si>
  <si>
    <t>Design - Undeclared</t>
  </si>
  <si>
    <t>Art &amp; Design</t>
  </si>
  <si>
    <t>Community &amp; Regional Planning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</si>
  <si>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</si>
  <si>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</si>
  <si>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</si>
  <si>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</si>
  <si>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</si>
  <si>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</si>
  <si>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</si>
  <si>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</si>
  <si>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</si>
  <si>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</si>
  <si>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</si>
  <si>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</si>
  <si>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</si>
  <si>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</si>
  <si>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</si>
  <si>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</si>
  <si>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</si>
  <si>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Family &amp; Consumer Sciences</t>
  </si>
  <si>
    <t>Food Science (See also AG)</t>
  </si>
  <si>
    <t>Human Development &amp; Family Studies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</si>
  <si>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</si>
  <si>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</si>
  <si>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</si>
  <si>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</si>
  <si>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</si>
  <si>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</si>
  <si>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 xml:space="preserve">Computer Science </t>
  </si>
  <si>
    <t>Earth Science</t>
  </si>
  <si>
    <t>English</t>
  </si>
  <si>
    <t>French</t>
  </si>
  <si>
    <t>Genetics (See also AG)</t>
  </si>
  <si>
    <t>Geology</t>
  </si>
  <si>
    <t>German</t>
  </si>
  <si>
    <t>History</t>
  </si>
  <si>
    <t>Interdisciplinary Studies</t>
  </si>
  <si>
    <t>Journalism and Mass Communication</t>
  </si>
  <si>
    <t>Liberal Studies</t>
  </si>
  <si>
    <t>Linguistics</t>
  </si>
  <si>
    <t>Mathematics</t>
  </si>
  <si>
    <t>Meteorology</t>
  </si>
  <si>
    <t>Music (Curriculum)</t>
  </si>
  <si>
    <t>Music (Major)</t>
  </si>
  <si>
    <t>Performing Arts</t>
  </si>
  <si>
    <t>Philosophy</t>
  </si>
  <si>
    <t>Physics</t>
  </si>
  <si>
    <t>Political Science</t>
  </si>
  <si>
    <t>Pre-Advertising</t>
  </si>
  <si>
    <t>Pre-Biological/Pre-Medical Illustration</t>
  </si>
  <si>
    <t>Preparation for Law</t>
  </si>
  <si>
    <t>Psychology</t>
  </si>
  <si>
    <t>Religious Studies</t>
  </si>
  <si>
    <t>Spanish</t>
  </si>
  <si>
    <t>Speech Communication</t>
  </si>
  <si>
    <t>Statistics</t>
  </si>
  <si>
    <t>Women's Studies</t>
  </si>
  <si>
    <t>College of Veterinary Medicine</t>
  </si>
  <si>
    <t>Veterinary Medicine - Special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</si>
  <si>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</si>
  <si>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</si>
  <si>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</si>
  <si>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</si>
  <si>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</si>
  <si>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4 = Asian or Pacific Islander</t>
  </si>
  <si>
    <t>6 = Hispanic</t>
  </si>
  <si>
    <t>**Internationals are included with the nonresidents.</t>
  </si>
  <si>
    <t>Engineering - Undeclared</t>
  </si>
  <si>
    <t>Materials Engineering</t>
  </si>
  <si>
    <t>Communications Studies</t>
  </si>
  <si>
    <t>Russian Studies</t>
  </si>
  <si>
    <t>Pre-Computer Science</t>
  </si>
  <si>
    <t>Technical Communication</t>
  </si>
  <si>
    <t>GRADUATES</t>
  </si>
  <si>
    <t>Agricultural Education &amp; Studies</t>
  </si>
  <si>
    <t>Biochemistry, Biophysics &amp; Molecular Biology</t>
  </si>
  <si>
    <t>Economics (See also LAS)</t>
  </si>
  <si>
    <t>Plant Pathology</t>
  </si>
  <si>
    <t>Sociology (See also LAS)</t>
  </si>
  <si>
    <t>Business Administration</t>
  </si>
  <si>
    <t>Architecture</t>
  </si>
  <si>
    <t>Curriculum &amp; Instruction</t>
  </si>
  <si>
    <t>Educational Leadership &amp; Policy Studies</t>
  </si>
  <si>
    <t>Health &amp; Human Performance</t>
  </si>
  <si>
    <t>Agricultural &amp; Biosystems Engineering</t>
  </si>
  <si>
    <t>Electrical &amp; Computer Engineering</t>
  </si>
  <si>
    <t>Ind. &amp; Manufacturing Systems Engineering</t>
  </si>
  <si>
    <t>Materials Science &amp; Engineering</t>
  </si>
  <si>
    <t>Systems Engineering</t>
  </si>
  <si>
    <t>Food Sci. &amp; Human Nutr. (See also Ag)</t>
  </si>
  <si>
    <t>Biochemistry, Biophysics, &amp; Molecular Biology</t>
  </si>
  <si>
    <t>Economics (See also Ag College)</t>
  </si>
  <si>
    <t>Geological &amp; Atmospheric Sciences</t>
  </si>
  <si>
    <t>Physics &amp; Astronomy</t>
  </si>
  <si>
    <t>Sociology (See also Ag.)</t>
  </si>
  <si>
    <t>Biomedical Sciences</t>
  </si>
  <si>
    <t>Veterinary Clinical Sciences</t>
  </si>
  <si>
    <t>Veterinary Diagnostic &amp; Production Animal Med.</t>
  </si>
  <si>
    <t>Vet. Microbiology &amp; Preventive Medicine</t>
  </si>
  <si>
    <t>Veterinary Pathology</t>
  </si>
  <si>
    <t>Interdepartmental Programs &amp;</t>
  </si>
  <si>
    <t xml:space="preserve">  Graduate Undeclared</t>
  </si>
  <si>
    <t>Nondegree - Undeclared</t>
  </si>
  <si>
    <t>Bioinformatics &amp; Computational Biology</t>
  </si>
  <si>
    <t>Genetics - Interdisciplinary</t>
  </si>
  <si>
    <t>Immunobiology</t>
  </si>
  <si>
    <t>Interdisciplinary Graduate Studies</t>
  </si>
  <si>
    <t>Molecular, Cellular &amp; Dev. Biology</t>
  </si>
  <si>
    <t>Neurosciences</t>
  </si>
  <si>
    <t>Plant Physiology</t>
  </si>
  <si>
    <t>TOTAL GRADUATES</t>
  </si>
  <si>
    <t>*Includes U.S. Citizens, Immigrants, Refugees, and Asylees only.</t>
  </si>
  <si>
    <t>Log, Operations, &amp; Mgmt Info Systems</t>
  </si>
  <si>
    <t>Information Assurance</t>
  </si>
  <si>
    <t>Sustainable Agriculture</t>
  </si>
  <si>
    <t>Apparel, Educ Studies &amp; Hospitality Mgmt.*</t>
  </si>
  <si>
    <t>Family &amp; Consumer Sci. Educ. &amp; Studies*</t>
  </si>
  <si>
    <t>Textiles and Clothing*</t>
  </si>
  <si>
    <t>* FCEDS, T C, and HRI are currently being administered by AESHM but are listed separately for this report.</t>
  </si>
  <si>
    <t>Toxicology</t>
  </si>
  <si>
    <t>VETERINARY MEDICINE</t>
  </si>
  <si>
    <t>Ecology, Evolution and Organismal Biology</t>
  </si>
  <si>
    <t>Genetics, Development and Cell Biology</t>
  </si>
  <si>
    <t>Natural Resource Ecology &amp; Mgmt</t>
  </si>
  <si>
    <t>Genetics, Development &amp; Cell Biology</t>
  </si>
  <si>
    <t>Undeclared Distance Learning</t>
  </si>
  <si>
    <t>Human Computer Interaction</t>
  </si>
  <si>
    <t>Foodservice &amp; Lodging Management</t>
  </si>
  <si>
    <t>Iowa State University</t>
  </si>
  <si>
    <t>Open Option - LAS</t>
  </si>
  <si>
    <t>Agriculture-Undeclared</t>
  </si>
  <si>
    <t>Agricultural Systems Tech.</t>
  </si>
  <si>
    <t>Biology (See also LAS)</t>
  </si>
  <si>
    <t>Dietetics (See also H SCI)</t>
  </si>
  <si>
    <t>Environmental Science (Agriculture)</t>
  </si>
  <si>
    <t>Food Science (see also H SCI)</t>
  </si>
  <si>
    <t>Nutritional Science (See also H SCI)</t>
  </si>
  <si>
    <t>Public Serv. &amp; Admin. in Ag.</t>
  </si>
  <si>
    <t>Logistics and Supply Chain Management</t>
  </si>
  <si>
    <t>Management Info. Systems</t>
  </si>
  <si>
    <t>Operations and Supply Chain Management</t>
  </si>
  <si>
    <t>Architecture-Profess. Degree</t>
  </si>
  <si>
    <t>Art &amp; Design-B.A.</t>
  </si>
  <si>
    <t>Art &amp; Design-B.F.A.</t>
  </si>
  <si>
    <t>Community &amp; Regional Plan.</t>
  </si>
  <si>
    <t>College of Agriculture</t>
  </si>
  <si>
    <t>Human Sciences</t>
  </si>
  <si>
    <t xml:space="preserve">Child, Adult &amp; Family Services </t>
  </si>
  <si>
    <t>Dietetics  (See also AG)</t>
  </si>
  <si>
    <t xml:space="preserve">Early Childhood Education </t>
  </si>
  <si>
    <t>Family Finance, Housing &amp; Policy</t>
  </si>
  <si>
    <t>Nutritional Sciences (See also AG)</t>
  </si>
  <si>
    <t>College of Human Sciences</t>
  </si>
  <si>
    <t>Apparel Merchandising
     Design and Production</t>
  </si>
  <si>
    <t>Intensive Engl. &amp; Orientation</t>
  </si>
  <si>
    <t>Biological/Pre-Med. Illustr.</t>
  </si>
  <si>
    <t>Biology (See also AG)</t>
  </si>
  <si>
    <t>Computer Science</t>
  </si>
  <si>
    <t>Economics (See also AG)</t>
  </si>
  <si>
    <t>Environmental Science (LAS)</t>
  </si>
  <si>
    <t>Journalism &amp; Mass Comm.</t>
  </si>
  <si>
    <t>Pre-Journalism &amp; Mass Comm.</t>
  </si>
  <si>
    <t>Prep. for Human Medicine</t>
  </si>
  <si>
    <t>Preprofess. Health Programs</t>
  </si>
  <si>
    <t>Sociology (See also AG)</t>
  </si>
  <si>
    <t>Zoology  (See also AG)</t>
  </si>
  <si>
    <t>Hotel, Restaurant and
     Institution Management</t>
  </si>
  <si>
    <t>Food Sci. &amp; Human Nutr. (See also H SCI)</t>
  </si>
  <si>
    <t>Civil, Construction and Environmental Engr</t>
  </si>
  <si>
    <t>Diet and Exercise (see also H SCI)</t>
  </si>
  <si>
    <t>Diet and Exercise (See also AG)</t>
  </si>
  <si>
    <t>Pre Diet &amp; Exercise (See also AG)</t>
  </si>
  <si>
    <t>Biorenewable Resources and Technology</t>
  </si>
  <si>
    <t>Chemical &amp; Biological Engineering</t>
  </si>
  <si>
    <t>Pre Diet &amp; Exercise (See also H SCI)</t>
  </si>
  <si>
    <t xml:space="preserve">FALL SEMESTER 2007 ENROLLMENT </t>
  </si>
  <si>
    <t>FALL SEMESTER 2007 ENROLLMENT</t>
  </si>
  <si>
    <t>Software Engineering</t>
  </si>
  <si>
    <t>Veterinary Medicine Nebraska Alliance</t>
  </si>
  <si>
    <t>Agriculture - Special (Non-Degree)</t>
  </si>
  <si>
    <t>Business - Special (Non-Degree)</t>
  </si>
  <si>
    <t>Design - Special (Non-Degree)</t>
  </si>
  <si>
    <t>Engineering - Special (Non-Degree)</t>
  </si>
  <si>
    <t>Human Sciences - Special (Non-Degree)</t>
  </si>
  <si>
    <t>Lib. Arts &amp; Sciences-Special (Non-Degree)</t>
  </si>
  <si>
    <t>Seed Technology and Business</t>
  </si>
  <si>
    <t>Kinesiology</t>
  </si>
  <si>
    <t xml:space="preserve"> </t>
  </si>
  <si>
    <t>Family &amp; Consumer Sciences
   Education &amp; Studies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</si>
</sst>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0.00_);[Red]\(0.00\)"/>
    <numFmt numFmtId="167" formatCode="0.0_);[Red]\(0.0\)"/>
  </numFmts>
  <fonts count="9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08"/>
  <sheetViews>
    <sheetView showGridLines="0" tabSelected="1" zoomScale="125" zoomScaleNormal="125" zoomScaleSheetLayoutView="100" workbookViewId="0" topLeftCell="A1">
      <selection activeCell="A1" sqref="A1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3" width="6.421875" style="3" customWidth="1"/>
    <col min="4" max="4" width="6.2812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6" ht="15">
      <c r="A3" s="20" t="s">
        <v>170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8:16" ht="12.75">
      <c r="H6" s="4" t="s">
        <v>1</v>
      </c>
      <c r="N6" s="5" t="s">
        <v>2</v>
      </c>
      <c r="P6" s="5" t="s">
        <v>3</v>
      </c>
    </row>
    <row r="7" spans="1:16" ht="12.75">
      <c r="A7" s="4" t="s">
        <v>187</v>
      </c>
      <c r="B7" s="6"/>
      <c r="C7" s="7" t="s">
        <v>4</v>
      </c>
      <c r="D7" s="7" t="s">
        <v>5</v>
      </c>
      <c r="E7" s="7" t="s">
        <v>6</v>
      </c>
      <c r="F7" s="6"/>
      <c r="G7" s="7" t="s">
        <v>7</v>
      </c>
      <c r="H7" s="7" t="s">
        <v>8</v>
      </c>
      <c r="I7" s="7" t="s">
        <v>9</v>
      </c>
      <c r="J7" s="7" t="s">
        <v>10</v>
      </c>
      <c r="K7" s="6"/>
      <c r="L7" s="8" t="s">
        <v>11</v>
      </c>
      <c r="M7" s="6"/>
      <c r="N7" s="8" t="s">
        <v>12</v>
      </c>
      <c r="O7" s="6"/>
      <c r="P7" s="8" t="s">
        <v>13</v>
      </c>
    </row>
    <row r="8" spans="2:16" ht="12" customHeight="1">
      <c r="B8" s="14" t="s">
        <v>221</v>
      </c>
      <c r="C8" s="3">
        <f>D8+E8</f>
        <v>73</v>
      </c>
      <c r="D8" s="3">
        <v>30</v>
      </c>
      <c r="E8" s="3">
        <v>43</v>
      </c>
      <c r="G8" s="3">
        <v>2</v>
      </c>
      <c r="H8" s="3">
        <v>2</v>
      </c>
      <c r="I8" s="3">
        <v>3</v>
      </c>
      <c r="J8" s="3">
        <v>1</v>
      </c>
      <c r="L8" s="3">
        <f>(C8-N8)</f>
        <v>32</v>
      </c>
      <c r="N8" s="3">
        <v>41</v>
      </c>
      <c r="P8" s="3">
        <v>9</v>
      </c>
    </row>
    <row r="9" spans="2:12" ht="12" customHeight="1">
      <c r="B9" s="14" t="s">
        <v>172</v>
      </c>
      <c r="C9" s="3">
        <f>D9+E9</f>
        <v>27</v>
      </c>
      <c r="D9" s="3">
        <v>20</v>
      </c>
      <c r="E9" s="3">
        <v>7</v>
      </c>
      <c r="L9" s="3">
        <f>(C9-N9)</f>
        <v>27</v>
      </c>
    </row>
    <row r="10" spans="2:16" ht="12" customHeight="1">
      <c r="B10" s="14" t="s">
        <v>14</v>
      </c>
      <c r="C10" s="3">
        <f>D10+E10</f>
        <v>16</v>
      </c>
      <c r="D10" s="3">
        <v>8</v>
      </c>
      <c r="E10" s="3">
        <v>8</v>
      </c>
      <c r="H10" s="3">
        <v>1</v>
      </c>
      <c r="I10" s="3">
        <v>1</v>
      </c>
      <c r="L10" s="3">
        <f>(C10-N10)</f>
        <v>12</v>
      </c>
      <c r="N10" s="3">
        <v>4</v>
      </c>
      <c r="P10" s="3">
        <v>1</v>
      </c>
    </row>
    <row r="11" spans="2:16" ht="12" customHeight="1">
      <c r="B11" s="14" t="s">
        <v>15</v>
      </c>
      <c r="C11" s="3">
        <f aca="true" t="shared" si="0" ref="C11:C26">D11+E11</f>
        <v>249</v>
      </c>
      <c r="D11" s="3">
        <v>178</v>
      </c>
      <c r="E11" s="3">
        <v>71</v>
      </c>
      <c r="H11" s="3">
        <v>1</v>
      </c>
      <c r="I11" s="3">
        <v>2</v>
      </c>
      <c r="J11" s="3">
        <v>1</v>
      </c>
      <c r="L11" s="3">
        <f aca="true" t="shared" si="1" ref="L11:L26">(C11-N11)</f>
        <v>227</v>
      </c>
      <c r="N11" s="3">
        <v>22</v>
      </c>
      <c r="P11" s="3">
        <v>2</v>
      </c>
    </row>
    <row r="12" spans="2:14" ht="12" customHeight="1">
      <c r="B12" s="14" t="s">
        <v>16</v>
      </c>
      <c r="C12" s="3">
        <f t="shared" si="0"/>
        <v>77</v>
      </c>
      <c r="D12" s="3">
        <v>30</v>
      </c>
      <c r="E12" s="3">
        <v>47</v>
      </c>
      <c r="H12" s="3">
        <v>1</v>
      </c>
      <c r="I12" s="3">
        <v>1</v>
      </c>
      <c r="J12" s="3">
        <v>1</v>
      </c>
      <c r="L12" s="3">
        <f t="shared" si="1"/>
        <v>69</v>
      </c>
      <c r="N12" s="3">
        <v>8</v>
      </c>
    </row>
    <row r="13" spans="2:14" ht="12" customHeight="1">
      <c r="B13" s="15" t="s">
        <v>17</v>
      </c>
      <c r="C13" s="3">
        <f t="shared" si="0"/>
        <v>224</v>
      </c>
      <c r="D13" s="3">
        <v>192</v>
      </c>
      <c r="E13" s="3">
        <v>32</v>
      </c>
      <c r="L13" s="3">
        <f t="shared" si="1"/>
        <v>218</v>
      </c>
      <c r="N13" s="3">
        <v>6</v>
      </c>
    </row>
    <row r="14" spans="2:14" ht="12" customHeight="1">
      <c r="B14" s="14" t="s">
        <v>173</v>
      </c>
      <c r="C14" s="3">
        <f t="shared" si="0"/>
        <v>109</v>
      </c>
      <c r="D14" s="3">
        <v>101</v>
      </c>
      <c r="E14" s="3">
        <v>8</v>
      </c>
      <c r="H14" s="3">
        <v>1</v>
      </c>
      <c r="L14" s="3">
        <f t="shared" si="1"/>
        <v>104</v>
      </c>
      <c r="N14" s="3">
        <v>5</v>
      </c>
    </row>
    <row r="15" spans="2:16" ht="12" customHeight="1">
      <c r="B15" s="15" t="s">
        <v>18</v>
      </c>
      <c r="C15" s="3">
        <f t="shared" si="0"/>
        <v>149</v>
      </c>
      <c r="D15" s="3">
        <v>110</v>
      </c>
      <c r="E15" s="3">
        <v>39</v>
      </c>
      <c r="H15" s="3">
        <v>1</v>
      </c>
      <c r="L15" s="3">
        <f t="shared" si="1"/>
        <v>131</v>
      </c>
      <c r="N15" s="3">
        <v>18</v>
      </c>
      <c r="P15" s="3">
        <v>1</v>
      </c>
    </row>
    <row r="16" spans="2:14" ht="12" customHeight="1">
      <c r="B16" s="14" t="s">
        <v>19</v>
      </c>
      <c r="C16" s="3">
        <f t="shared" si="0"/>
        <v>225</v>
      </c>
      <c r="D16" s="3">
        <v>130</v>
      </c>
      <c r="E16" s="3">
        <v>95</v>
      </c>
      <c r="H16" s="3">
        <v>2</v>
      </c>
      <c r="I16" s="3">
        <v>2</v>
      </c>
      <c r="J16" s="3">
        <v>7</v>
      </c>
      <c r="L16" s="3">
        <f t="shared" si="1"/>
        <v>196</v>
      </c>
      <c r="N16" s="3">
        <f>12+17</f>
        <v>29</v>
      </c>
    </row>
    <row r="17" spans="2:16" ht="12" customHeight="1">
      <c r="B17" s="15" t="s">
        <v>20</v>
      </c>
      <c r="C17" s="3">
        <f t="shared" si="0"/>
        <v>620</v>
      </c>
      <c r="D17" s="3">
        <v>199</v>
      </c>
      <c r="E17" s="3">
        <v>421</v>
      </c>
      <c r="G17" s="3">
        <v>1</v>
      </c>
      <c r="H17" s="3">
        <v>6</v>
      </c>
      <c r="I17" s="3">
        <v>5</v>
      </c>
      <c r="J17" s="3">
        <f>14+8</f>
        <v>22</v>
      </c>
      <c r="L17" s="3">
        <f t="shared" si="1"/>
        <v>498</v>
      </c>
      <c r="N17" s="3">
        <f>31+91</f>
        <v>122</v>
      </c>
      <c r="P17" s="3">
        <v>2</v>
      </c>
    </row>
    <row r="18" spans="2:14" ht="12" customHeight="1">
      <c r="B18" s="14" t="s">
        <v>21</v>
      </c>
      <c r="C18" s="3">
        <f t="shared" si="0"/>
        <v>21</v>
      </c>
      <c r="D18" s="3">
        <v>4</v>
      </c>
      <c r="E18" s="3">
        <v>17</v>
      </c>
      <c r="H18" s="3">
        <v>1</v>
      </c>
      <c r="L18" s="3">
        <f t="shared" si="1"/>
        <v>15</v>
      </c>
      <c r="N18" s="3">
        <v>6</v>
      </c>
    </row>
    <row r="19" spans="2:16" ht="12" customHeight="1">
      <c r="B19" s="15" t="s">
        <v>174</v>
      </c>
      <c r="C19" s="3">
        <f t="shared" si="0"/>
        <v>128</v>
      </c>
      <c r="D19" s="3">
        <v>46</v>
      </c>
      <c r="E19" s="3">
        <v>82</v>
      </c>
      <c r="G19" s="3">
        <v>2</v>
      </c>
      <c r="H19" s="3">
        <v>3</v>
      </c>
      <c r="I19" s="3">
        <v>4</v>
      </c>
      <c r="J19" s="3">
        <v>2</v>
      </c>
      <c r="L19" s="3">
        <f t="shared" si="1"/>
        <v>93</v>
      </c>
      <c r="N19" s="3">
        <f>7+28</f>
        <v>35</v>
      </c>
      <c r="P19" s="3">
        <v>5</v>
      </c>
    </row>
    <row r="20" spans="2:14" ht="12" customHeight="1">
      <c r="B20" s="15" t="s">
        <v>22</v>
      </c>
      <c r="C20" s="3">
        <f t="shared" si="0"/>
        <v>51</v>
      </c>
      <c r="D20" s="3">
        <v>15</v>
      </c>
      <c r="E20" s="3">
        <v>36</v>
      </c>
      <c r="I20" s="3">
        <v>1</v>
      </c>
      <c r="L20" s="3">
        <f t="shared" si="1"/>
        <v>45</v>
      </c>
      <c r="N20" s="3">
        <v>6</v>
      </c>
    </row>
    <row r="21" spans="2:14" ht="12" customHeight="1">
      <c r="B21" s="14" t="s">
        <v>23</v>
      </c>
      <c r="C21" s="3">
        <f t="shared" si="0"/>
        <v>3</v>
      </c>
      <c r="D21" s="3">
        <v>0</v>
      </c>
      <c r="E21" s="3">
        <v>3</v>
      </c>
      <c r="L21" s="3">
        <f t="shared" si="1"/>
        <v>1</v>
      </c>
      <c r="N21" s="3">
        <v>2</v>
      </c>
    </row>
    <row r="22" spans="2:12" ht="12" customHeight="1">
      <c r="B22" s="14" t="s">
        <v>211</v>
      </c>
      <c r="C22" s="3">
        <f t="shared" si="0"/>
        <v>0</v>
      </c>
      <c r="D22" s="3">
        <v>0</v>
      </c>
      <c r="E22" s="3">
        <v>0</v>
      </c>
      <c r="L22" s="3">
        <f t="shared" si="1"/>
        <v>0</v>
      </c>
    </row>
    <row r="23" spans="2:14" ht="12" customHeight="1">
      <c r="B23" s="15" t="s">
        <v>175</v>
      </c>
      <c r="C23" s="3">
        <f t="shared" si="0"/>
        <v>15</v>
      </c>
      <c r="D23" s="3">
        <v>2</v>
      </c>
      <c r="E23" s="3">
        <v>13</v>
      </c>
      <c r="H23" s="3">
        <v>1</v>
      </c>
      <c r="L23" s="3">
        <f t="shared" si="1"/>
        <v>13</v>
      </c>
      <c r="N23" s="3">
        <v>2</v>
      </c>
    </row>
    <row r="24" spans="2:16" ht="12" customHeight="1">
      <c r="B24" s="15" t="s">
        <v>24</v>
      </c>
      <c r="C24" s="3">
        <f t="shared" si="0"/>
        <v>9</v>
      </c>
      <c r="D24" s="3">
        <v>5</v>
      </c>
      <c r="E24" s="3">
        <v>4</v>
      </c>
      <c r="L24" s="3">
        <f t="shared" si="1"/>
        <v>5</v>
      </c>
      <c r="N24" s="3">
        <v>4</v>
      </c>
      <c r="P24" s="3">
        <v>1</v>
      </c>
    </row>
    <row r="25" spans="2:16" ht="12" customHeight="1">
      <c r="B25" s="14" t="s">
        <v>176</v>
      </c>
      <c r="C25" s="3">
        <f t="shared" si="0"/>
        <v>33</v>
      </c>
      <c r="D25" s="3">
        <v>21</v>
      </c>
      <c r="E25" s="3">
        <v>12</v>
      </c>
      <c r="G25" s="3">
        <v>1</v>
      </c>
      <c r="I25" s="3">
        <v>1</v>
      </c>
      <c r="L25" s="3">
        <f t="shared" si="1"/>
        <v>24</v>
      </c>
      <c r="N25" s="3">
        <v>9</v>
      </c>
      <c r="P25" s="3">
        <v>2</v>
      </c>
    </row>
    <row r="26" spans="2:16" ht="12" customHeight="1">
      <c r="B26" s="14" t="s">
        <v>177</v>
      </c>
      <c r="C26" s="3">
        <f t="shared" si="0"/>
        <v>36</v>
      </c>
      <c r="D26" s="3">
        <v>11</v>
      </c>
      <c r="E26" s="3">
        <v>25</v>
      </c>
      <c r="H26" s="3">
        <v>3</v>
      </c>
      <c r="L26" s="3">
        <f t="shared" si="1"/>
        <v>24</v>
      </c>
      <c r="N26" s="3">
        <v>12</v>
      </c>
      <c r="P26" s="3">
        <v>10</v>
      </c>
    </row>
    <row r="27" spans="2:14" ht="12" customHeight="1">
      <c r="B27" s="15" t="s">
        <v>25</v>
      </c>
      <c r="C27" s="3">
        <f aca="true" t="shared" si="2" ref="C27:C38">D27+E27</f>
        <v>72</v>
      </c>
      <c r="D27" s="3">
        <v>61</v>
      </c>
      <c r="E27" s="3">
        <v>11</v>
      </c>
      <c r="L27" s="3">
        <f aca="true" t="shared" si="3" ref="L27:L35">(C27-N27)</f>
        <v>69</v>
      </c>
      <c r="N27" s="3">
        <v>3</v>
      </c>
    </row>
    <row r="28" spans="2:14" ht="12" customHeight="1">
      <c r="B28" s="14" t="s">
        <v>26</v>
      </c>
      <c r="C28" s="3">
        <f t="shared" si="2"/>
        <v>47</v>
      </c>
      <c r="D28" s="3">
        <v>6</v>
      </c>
      <c r="E28" s="3">
        <v>41</v>
      </c>
      <c r="G28" s="3">
        <v>1</v>
      </c>
      <c r="H28" s="3">
        <v>2</v>
      </c>
      <c r="J28" s="3">
        <v>1</v>
      </c>
      <c r="L28" s="3">
        <f t="shared" si="3"/>
        <v>30</v>
      </c>
      <c r="N28" s="3">
        <v>17</v>
      </c>
    </row>
    <row r="29" spans="2:16" ht="12" customHeight="1">
      <c r="B29" s="15" t="s">
        <v>27</v>
      </c>
      <c r="C29" s="3">
        <f t="shared" si="2"/>
        <v>21</v>
      </c>
      <c r="D29" s="3">
        <v>5</v>
      </c>
      <c r="E29" s="3">
        <v>16</v>
      </c>
      <c r="H29" s="3">
        <v>2</v>
      </c>
      <c r="L29" s="3">
        <f t="shared" si="3"/>
        <v>11</v>
      </c>
      <c r="N29" s="3">
        <v>10</v>
      </c>
      <c r="P29" s="3">
        <v>7</v>
      </c>
    </row>
    <row r="30" spans="2:14" ht="12" customHeight="1">
      <c r="B30" s="14" t="s">
        <v>28</v>
      </c>
      <c r="C30" s="3">
        <f t="shared" si="2"/>
        <v>164</v>
      </c>
      <c r="D30" s="3">
        <v>123</v>
      </c>
      <c r="E30" s="3">
        <v>41</v>
      </c>
      <c r="I30" s="3">
        <v>1</v>
      </c>
      <c r="J30" s="3">
        <v>2</v>
      </c>
      <c r="L30" s="3">
        <f t="shared" si="3"/>
        <v>143</v>
      </c>
      <c r="N30" s="3">
        <v>21</v>
      </c>
    </row>
    <row r="31" spans="2:16" ht="12" customHeight="1">
      <c r="B31" s="14" t="s">
        <v>50</v>
      </c>
      <c r="C31" s="3">
        <f t="shared" si="2"/>
        <v>199</v>
      </c>
      <c r="D31" s="3">
        <v>188</v>
      </c>
      <c r="E31" s="3">
        <v>11</v>
      </c>
      <c r="G31" s="3">
        <v>1</v>
      </c>
      <c r="H31" s="3">
        <v>10</v>
      </c>
      <c r="I31" s="3">
        <v>8</v>
      </c>
      <c r="J31" s="3">
        <v>5</v>
      </c>
      <c r="L31" s="3">
        <f t="shared" si="3"/>
        <v>166</v>
      </c>
      <c r="N31" s="3">
        <v>33</v>
      </c>
      <c r="P31" s="3">
        <v>2</v>
      </c>
    </row>
    <row r="32" spans="2:16" ht="12" customHeight="1">
      <c r="B32" s="15" t="s">
        <v>29</v>
      </c>
      <c r="C32" s="3">
        <f t="shared" si="2"/>
        <v>92</v>
      </c>
      <c r="D32" s="3">
        <v>25</v>
      </c>
      <c r="E32" s="3">
        <v>67</v>
      </c>
      <c r="H32" s="3">
        <v>3</v>
      </c>
      <c r="I32" s="3">
        <v>5</v>
      </c>
      <c r="J32" s="3">
        <v>6</v>
      </c>
      <c r="L32" s="3">
        <f t="shared" si="3"/>
        <v>69</v>
      </c>
      <c r="N32" s="3">
        <v>23</v>
      </c>
      <c r="P32" s="3">
        <v>7</v>
      </c>
    </row>
    <row r="33" spans="2:16" ht="12" customHeight="1">
      <c r="B33" s="15" t="s">
        <v>178</v>
      </c>
      <c r="C33" s="3">
        <f t="shared" si="2"/>
        <v>4</v>
      </c>
      <c r="D33" s="3">
        <v>0</v>
      </c>
      <c r="E33" s="3">
        <v>4</v>
      </c>
      <c r="L33" s="3">
        <f t="shared" si="3"/>
        <v>1</v>
      </c>
      <c r="N33" s="3">
        <v>3</v>
      </c>
      <c r="P33" s="3">
        <v>2</v>
      </c>
    </row>
    <row r="34" spans="2:16" ht="12" customHeight="1">
      <c r="B34" s="14" t="s">
        <v>30</v>
      </c>
      <c r="C34" s="3">
        <f t="shared" si="2"/>
        <v>2</v>
      </c>
      <c r="D34" s="3">
        <v>1</v>
      </c>
      <c r="E34" s="3">
        <v>1</v>
      </c>
      <c r="L34" s="3">
        <f t="shared" si="3"/>
        <v>1</v>
      </c>
      <c r="N34" s="3">
        <v>1</v>
      </c>
      <c r="P34" s="3">
        <v>1</v>
      </c>
    </row>
    <row r="35" spans="2:12" ht="12" customHeight="1">
      <c r="B35" s="14" t="s">
        <v>216</v>
      </c>
      <c r="C35" s="3">
        <f t="shared" si="2"/>
        <v>1</v>
      </c>
      <c r="D35" s="3">
        <v>0</v>
      </c>
      <c r="E35" s="3">
        <v>1</v>
      </c>
      <c r="L35" s="3">
        <f t="shared" si="3"/>
        <v>1</v>
      </c>
    </row>
    <row r="36" spans="2:14" ht="12" customHeight="1">
      <c r="B36" s="14" t="s">
        <v>31</v>
      </c>
      <c r="C36" s="3">
        <f t="shared" si="2"/>
        <v>1</v>
      </c>
      <c r="D36" s="3">
        <v>1</v>
      </c>
      <c r="E36" s="3">
        <v>0</v>
      </c>
      <c r="L36" s="3">
        <f>(C36-N36)</f>
        <v>0</v>
      </c>
      <c r="N36" s="3">
        <v>1</v>
      </c>
    </row>
    <row r="37" spans="2:14" ht="12" customHeight="1">
      <c r="B37" s="15" t="s">
        <v>179</v>
      </c>
      <c r="C37" s="3">
        <f t="shared" si="2"/>
        <v>23</v>
      </c>
      <c r="D37" s="3">
        <v>5</v>
      </c>
      <c r="E37" s="3">
        <v>18</v>
      </c>
      <c r="H37" s="3">
        <v>2</v>
      </c>
      <c r="L37" s="3">
        <f>(C37-N37)</f>
        <v>19</v>
      </c>
      <c r="N37" s="3">
        <v>4</v>
      </c>
    </row>
    <row r="38" spans="2:14" ht="12" customHeight="1">
      <c r="B38" s="15" t="s">
        <v>32</v>
      </c>
      <c r="C38" s="3">
        <f t="shared" si="2"/>
        <v>6</v>
      </c>
      <c r="D38" s="3">
        <v>3</v>
      </c>
      <c r="E38" s="3">
        <v>3</v>
      </c>
      <c r="L38" s="3">
        <f>(C38-N38)</f>
        <v>5</v>
      </c>
      <c r="N38" s="3">
        <v>1</v>
      </c>
    </row>
    <row r="40" spans="1:16" ht="12.75">
      <c r="A40" s="9" t="s">
        <v>4</v>
      </c>
      <c r="C40" s="3">
        <f>SUM(C8:C39)</f>
        <v>2697</v>
      </c>
      <c r="D40" s="3">
        <f>SUM(D8:D39)</f>
        <v>1520</v>
      </c>
      <c r="E40" s="3">
        <f>SUM(E8:E39)</f>
        <v>1177</v>
      </c>
      <c r="G40" s="3">
        <f>SUM(G8:G38)</f>
        <v>8</v>
      </c>
      <c r="H40" s="3">
        <f>SUM(H8:H38)</f>
        <v>42</v>
      </c>
      <c r="I40" s="3">
        <f>SUM(I8:I38)</f>
        <v>34</v>
      </c>
      <c r="J40" s="3">
        <f>SUM(J8:J38)</f>
        <v>48</v>
      </c>
      <c r="L40" s="3">
        <f>SUM(L8:L39)</f>
        <v>2249</v>
      </c>
      <c r="N40" s="3">
        <f>SUM(N8:N38)</f>
        <v>448</v>
      </c>
      <c r="P40" s="3">
        <f>SUM(P8:P38)</f>
        <v>52</v>
      </c>
    </row>
    <row r="44" ht="12.75">
      <c r="A44" s="16"/>
    </row>
    <row r="46" spans="1:17" ht="12.75">
      <c r="A46" s="2" t="s">
        <v>218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8" spans="8:16" ht="12.75">
      <c r="H48" s="4" t="s">
        <v>1</v>
      </c>
      <c r="N48" s="5" t="s">
        <v>2</v>
      </c>
      <c r="P48" s="5" t="s">
        <v>3</v>
      </c>
    </row>
    <row r="49" spans="1:16" ht="12.75">
      <c r="A49" s="4" t="s">
        <v>33</v>
      </c>
      <c r="C49" s="7" t="s">
        <v>4</v>
      </c>
      <c r="D49" s="7" t="s">
        <v>5</v>
      </c>
      <c r="E49" s="7" t="s">
        <v>6</v>
      </c>
      <c r="F49" s="6"/>
      <c r="G49" s="7" t="s">
        <v>7</v>
      </c>
      <c r="H49" s="7" t="s">
        <v>8</v>
      </c>
      <c r="I49" s="7" t="s">
        <v>9</v>
      </c>
      <c r="J49" s="7" t="s">
        <v>10</v>
      </c>
      <c r="K49" s="6"/>
      <c r="L49" s="8" t="s">
        <v>11</v>
      </c>
      <c r="M49" s="6"/>
      <c r="N49" s="8" t="s">
        <v>12</v>
      </c>
      <c r="O49" s="6"/>
      <c r="P49" s="8" t="s">
        <v>13</v>
      </c>
    </row>
    <row r="50" spans="2:16" ht="12.75">
      <c r="B50" s="14" t="s">
        <v>222</v>
      </c>
      <c r="C50" s="3">
        <f aca="true" t="shared" si="4" ref="C50:C59">D50+E50</f>
        <v>20</v>
      </c>
      <c r="D50" s="3">
        <v>10</v>
      </c>
      <c r="E50" s="3">
        <v>10</v>
      </c>
      <c r="L50" s="3">
        <f aca="true" t="shared" si="5" ref="L50:L59">(C50-N50)</f>
        <v>6</v>
      </c>
      <c r="N50" s="3">
        <v>14</v>
      </c>
      <c r="P50" s="3">
        <v>12</v>
      </c>
    </row>
    <row r="51" spans="2:14" ht="12.75">
      <c r="B51" s="14" t="s">
        <v>34</v>
      </c>
      <c r="C51" s="3">
        <f t="shared" si="4"/>
        <v>38</v>
      </c>
      <c r="D51" s="3">
        <v>21</v>
      </c>
      <c r="E51" s="3">
        <v>17</v>
      </c>
      <c r="G51" s="3">
        <v>1</v>
      </c>
      <c r="H51" s="3">
        <v>2</v>
      </c>
      <c r="I51" s="3">
        <v>3</v>
      </c>
      <c r="L51" s="3">
        <f t="shared" si="5"/>
        <v>32</v>
      </c>
      <c r="N51" s="3">
        <v>6</v>
      </c>
    </row>
    <row r="52" spans="2:16" ht="12.75">
      <c r="B52" s="14" t="s">
        <v>35</v>
      </c>
      <c r="C52" s="3">
        <f t="shared" si="4"/>
        <v>307</v>
      </c>
      <c r="D52" s="3">
        <v>160</v>
      </c>
      <c r="E52" s="3">
        <v>147</v>
      </c>
      <c r="H52" s="3">
        <v>10</v>
      </c>
      <c r="I52" s="3">
        <v>21</v>
      </c>
      <c r="J52" s="3">
        <v>9</v>
      </c>
      <c r="L52" s="3">
        <f t="shared" si="5"/>
        <v>261</v>
      </c>
      <c r="N52" s="3">
        <f>23+23</f>
        <v>46</v>
      </c>
      <c r="P52" s="3">
        <v>16</v>
      </c>
    </row>
    <row r="53" spans="2:16" ht="12.75">
      <c r="B53" s="14" t="s">
        <v>36</v>
      </c>
      <c r="C53" s="3">
        <f t="shared" si="4"/>
        <v>358</v>
      </c>
      <c r="D53" s="3">
        <v>257</v>
      </c>
      <c r="E53" s="3">
        <v>101</v>
      </c>
      <c r="G53" s="3">
        <v>1</v>
      </c>
      <c r="H53" s="3">
        <v>11</v>
      </c>
      <c r="I53" s="3">
        <v>19</v>
      </c>
      <c r="J53" s="3">
        <v>6</v>
      </c>
      <c r="L53" s="3">
        <f t="shared" si="5"/>
        <v>287</v>
      </c>
      <c r="N53" s="3">
        <f>57+14</f>
        <v>71</v>
      </c>
      <c r="P53" s="3">
        <v>13</v>
      </c>
    </row>
    <row r="54" spans="2:16" ht="12.75">
      <c r="B54" s="14" t="s">
        <v>180</v>
      </c>
      <c r="C54" s="3">
        <f t="shared" si="4"/>
        <v>81</v>
      </c>
      <c r="D54" s="3">
        <v>67</v>
      </c>
      <c r="E54" s="3">
        <v>14</v>
      </c>
      <c r="G54" s="3">
        <v>1</v>
      </c>
      <c r="H54" s="3">
        <v>2</v>
      </c>
      <c r="I54" s="3">
        <v>2</v>
      </c>
      <c r="J54" s="3">
        <v>1</v>
      </c>
      <c r="L54" s="3">
        <f t="shared" si="5"/>
        <v>69</v>
      </c>
      <c r="N54" s="3">
        <v>12</v>
      </c>
      <c r="P54" s="3">
        <v>2</v>
      </c>
    </row>
    <row r="55" spans="2:16" ht="12.75">
      <c r="B55" s="14" t="s">
        <v>37</v>
      </c>
      <c r="C55" s="3">
        <f t="shared" si="4"/>
        <v>309</v>
      </c>
      <c r="D55" s="3">
        <v>210</v>
      </c>
      <c r="E55" s="3">
        <v>99</v>
      </c>
      <c r="G55" s="3">
        <v>3</v>
      </c>
      <c r="H55" s="3">
        <v>7</v>
      </c>
      <c r="I55" s="3">
        <v>16</v>
      </c>
      <c r="J55" s="3">
        <v>5</v>
      </c>
      <c r="L55" s="3">
        <f t="shared" si="5"/>
        <v>267</v>
      </c>
      <c r="N55" s="3">
        <v>42</v>
      </c>
      <c r="P55" s="3">
        <v>4</v>
      </c>
    </row>
    <row r="56" spans="2:16" ht="12.75">
      <c r="B56" s="14" t="s">
        <v>181</v>
      </c>
      <c r="C56" s="3">
        <f t="shared" si="4"/>
        <v>180</v>
      </c>
      <c r="D56" s="3">
        <v>172</v>
      </c>
      <c r="E56" s="3">
        <v>8</v>
      </c>
      <c r="H56" s="3">
        <v>2</v>
      </c>
      <c r="I56" s="3">
        <v>11</v>
      </c>
      <c r="J56" s="3">
        <v>4</v>
      </c>
      <c r="L56" s="3">
        <f t="shared" si="5"/>
        <v>159</v>
      </c>
      <c r="N56" s="3">
        <v>21</v>
      </c>
      <c r="P56" s="3">
        <v>8</v>
      </c>
    </row>
    <row r="57" spans="2:16" ht="12.75">
      <c r="B57" s="14" t="s">
        <v>38</v>
      </c>
      <c r="C57" s="3">
        <f t="shared" si="4"/>
        <v>392</v>
      </c>
      <c r="D57" s="3">
        <v>192</v>
      </c>
      <c r="E57" s="3">
        <v>200</v>
      </c>
      <c r="G57" s="3">
        <v>2</v>
      </c>
      <c r="H57" s="3">
        <v>4</v>
      </c>
      <c r="I57" s="3">
        <v>11</v>
      </c>
      <c r="J57" s="3">
        <v>7</v>
      </c>
      <c r="L57" s="3">
        <f t="shared" si="5"/>
        <v>308</v>
      </c>
      <c r="N57" s="3">
        <f>42+42</f>
        <v>84</v>
      </c>
      <c r="P57" s="3">
        <v>9</v>
      </c>
    </row>
    <row r="58" spans="2:14" ht="12.75">
      <c r="B58" s="14" t="s">
        <v>182</v>
      </c>
      <c r="C58" s="3">
        <f t="shared" si="4"/>
        <v>68</v>
      </c>
      <c r="D58" s="3">
        <v>55</v>
      </c>
      <c r="E58" s="3">
        <v>13</v>
      </c>
      <c r="G58" s="3">
        <v>1</v>
      </c>
      <c r="H58" s="3">
        <v>3</v>
      </c>
      <c r="I58" s="3">
        <v>2</v>
      </c>
      <c r="J58" s="3">
        <v>3</v>
      </c>
      <c r="L58" s="3">
        <f t="shared" si="5"/>
        <v>62</v>
      </c>
      <c r="N58" s="3">
        <v>6</v>
      </c>
    </row>
    <row r="59" spans="2:16" ht="12.75">
      <c r="B59" s="14" t="s">
        <v>39</v>
      </c>
      <c r="C59" s="3">
        <f t="shared" si="4"/>
        <v>1580</v>
      </c>
      <c r="D59" s="3">
        <v>1032</v>
      </c>
      <c r="E59" s="3">
        <v>548</v>
      </c>
      <c r="G59" s="3">
        <v>7</v>
      </c>
      <c r="H59" s="3">
        <f>45+13</f>
        <v>58</v>
      </c>
      <c r="I59" s="3">
        <f>40+31</f>
        <v>71</v>
      </c>
      <c r="J59" s="3">
        <f>21+16</f>
        <v>37</v>
      </c>
      <c r="L59" s="3">
        <f t="shared" si="5"/>
        <v>1187</v>
      </c>
      <c r="N59" s="3">
        <f>247+146</f>
        <v>393</v>
      </c>
      <c r="P59" s="3">
        <f>44+45</f>
        <v>89</v>
      </c>
    </row>
    <row r="61" spans="1:16" ht="12.75">
      <c r="A61" s="9" t="s">
        <v>4</v>
      </c>
      <c r="C61" s="3">
        <f>SUM(C49:C59)</f>
        <v>3333</v>
      </c>
      <c r="D61" s="3">
        <f>SUM(D49:D59)</f>
        <v>2176</v>
      </c>
      <c r="E61" s="3">
        <f>SUM(E49:E59)</f>
        <v>1157</v>
      </c>
      <c r="G61" s="3">
        <f>SUM(G50:G59)</f>
        <v>16</v>
      </c>
      <c r="H61" s="3">
        <f>SUM(H50:H59)</f>
        <v>99</v>
      </c>
      <c r="I61" s="3">
        <f>SUM(I50:I59)</f>
        <v>156</v>
      </c>
      <c r="J61" s="3">
        <f>SUM(J50:J59)</f>
        <v>72</v>
      </c>
      <c r="L61" s="3">
        <f>SUM(L49:L59)</f>
        <v>2638</v>
      </c>
      <c r="N61" s="3">
        <f>SUM(N49:N59)</f>
        <v>695</v>
      </c>
      <c r="P61" s="3">
        <f>SUM(P49:P59)</f>
        <v>153</v>
      </c>
    </row>
    <row r="65" spans="7:16" ht="12.75">
      <c r="G65" s="6"/>
      <c r="H65" s="4" t="s">
        <v>1</v>
      </c>
      <c r="N65" s="5" t="s">
        <v>2</v>
      </c>
      <c r="P65" s="5" t="s">
        <v>3</v>
      </c>
    </row>
    <row r="66" spans="1:16" ht="12.75">
      <c r="A66" s="4" t="s">
        <v>40</v>
      </c>
      <c r="B66" s="6"/>
      <c r="C66" s="7" t="s">
        <v>4</v>
      </c>
      <c r="D66" s="7" t="s">
        <v>5</v>
      </c>
      <c r="E66" s="7" t="s">
        <v>6</v>
      </c>
      <c r="F66" s="6"/>
      <c r="G66" s="7" t="s">
        <v>7</v>
      </c>
      <c r="H66" s="7" t="s">
        <v>8</v>
      </c>
      <c r="I66" s="7" t="s">
        <v>9</v>
      </c>
      <c r="J66" s="7" t="s">
        <v>10</v>
      </c>
      <c r="K66" s="6"/>
      <c r="L66" s="8" t="s">
        <v>11</v>
      </c>
      <c r="M66" s="6"/>
      <c r="N66" s="8" t="s">
        <v>12</v>
      </c>
      <c r="O66" s="6"/>
      <c r="P66" s="8" t="s">
        <v>13</v>
      </c>
    </row>
    <row r="67" spans="2:16" ht="12" customHeight="1">
      <c r="B67" s="14" t="s">
        <v>223</v>
      </c>
      <c r="C67" s="3">
        <f aca="true" t="shared" si="6" ref="C67:C78">D67+E67</f>
        <v>8</v>
      </c>
      <c r="D67" s="3">
        <v>3</v>
      </c>
      <c r="E67" s="3">
        <v>5</v>
      </c>
      <c r="I67" s="3">
        <v>1</v>
      </c>
      <c r="L67" s="3">
        <f aca="true" t="shared" si="7" ref="L67:L78">(C67-N67)</f>
        <v>7</v>
      </c>
      <c r="N67" s="3">
        <v>1</v>
      </c>
      <c r="P67" s="3">
        <v>1</v>
      </c>
    </row>
    <row r="68" spans="2:16" ht="12" customHeight="1">
      <c r="B68" s="14" t="s">
        <v>41</v>
      </c>
      <c r="C68" s="3">
        <f t="shared" si="6"/>
        <v>58</v>
      </c>
      <c r="D68" s="3">
        <v>15</v>
      </c>
      <c r="E68" s="3">
        <v>43</v>
      </c>
      <c r="I68" s="3">
        <v>1</v>
      </c>
      <c r="J68" s="3">
        <v>5</v>
      </c>
      <c r="L68" s="3">
        <f t="shared" si="7"/>
        <v>43</v>
      </c>
      <c r="N68" s="3">
        <v>15</v>
      </c>
      <c r="P68" s="3">
        <v>1</v>
      </c>
    </row>
    <row r="69" spans="2:16" ht="12" customHeight="1">
      <c r="B69" s="14" t="s">
        <v>183</v>
      </c>
      <c r="C69" s="3">
        <f t="shared" si="6"/>
        <v>260</v>
      </c>
      <c r="D69" s="3">
        <v>168</v>
      </c>
      <c r="E69" s="3">
        <v>92</v>
      </c>
      <c r="H69" s="3">
        <v>2</v>
      </c>
      <c r="I69" s="3">
        <v>6</v>
      </c>
      <c r="J69" s="3">
        <v>3</v>
      </c>
      <c r="L69" s="3">
        <f t="shared" si="7"/>
        <v>161</v>
      </c>
      <c r="N69" s="3">
        <f>62+37</f>
        <v>99</v>
      </c>
      <c r="P69" s="3">
        <v>12</v>
      </c>
    </row>
    <row r="70" spans="2:16" ht="12" customHeight="1">
      <c r="B70" s="14" t="s">
        <v>42</v>
      </c>
      <c r="C70" s="3">
        <f t="shared" si="6"/>
        <v>276</v>
      </c>
      <c r="D70" s="3">
        <v>87</v>
      </c>
      <c r="E70" s="3">
        <v>189</v>
      </c>
      <c r="G70" s="3">
        <v>1</v>
      </c>
      <c r="H70" s="3">
        <v>7</v>
      </c>
      <c r="I70" s="3">
        <v>11</v>
      </c>
      <c r="J70" s="3">
        <v>10</v>
      </c>
      <c r="L70" s="3">
        <f t="shared" si="7"/>
        <v>213</v>
      </c>
      <c r="N70" s="3">
        <f>14+49</f>
        <v>63</v>
      </c>
      <c r="P70" s="3">
        <v>6</v>
      </c>
    </row>
    <row r="71" spans="2:16" ht="12" customHeight="1">
      <c r="B71" s="14" t="s">
        <v>184</v>
      </c>
      <c r="C71" s="3">
        <f t="shared" si="6"/>
        <v>114</v>
      </c>
      <c r="D71" s="3">
        <v>35</v>
      </c>
      <c r="E71" s="3">
        <v>79</v>
      </c>
      <c r="H71" s="3">
        <v>6</v>
      </c>
      <c r="I71" s="3">
        <v>4</v>
      </c>
      <c r="J71" s="3">
        <v>7</v>
      </c>
      <c r="L71" s="3">
        <f t="shared" si="7"/>
        <v>93</v>
      </c>
      <c r="N71" s="3">
        <f>6+15</f>
        <v>21</v>
      </c>
      <c r="P71" s="3">
        <v>3</v>
      </c>
    </row>
    <row r="72" spans="2:16" ht="12" customHeight="1">
      <c r="B72" s="14" t="s">
        <v>185</v>
      </c>
      <c r="C72" s="3">
        <f t="shared" si="6"/>
        <v>211</v>
      </c>
      <c r="D72" s="3">
        <v>109</v>
      </c>
      <c r="E72" s="3">
        <v>102</v>
      </c>
      <c r="G72" s="3">
        <v>3</v>
      </c>
      <c r="H72" s="3">
        <v>4</v>
      </c>
      <c r="I72" s="3">
        <v>9</v>
      </c>
      <c r="J72" s="3">
        <v>8</v>
      </c>
      <c r="L72" s="3">
        <f t="shared" si="7"/>
        <v>182</v>
      </c>
      <c r="N72" s="3">
        <f>11+18</f>
        <v>29</v>
      </c>
      <c r="P72" s="3">
        <v>5</v>
      </c>
    </row>
    <row r="73" spans="2:16" ht="12" customHeight="1">
      <c r="B73" s="14" t="s">
        <v>186</v>
      </c>
      <c r="C73" s="3">
        <f t="shared" si="6"/>
        <v>128</v>
      </c>
      <c r="D73" s="3">
        <v>83</v>
      </c>
      <c r="E73" s="3">
        <v>45</v>
      </c>
      <c r="H73" s="3">
        <v>8</v>
      </c>
      <c r="I73" s="3">
        <v>3</v>
      </c>
      <c r="J73" s="3">
        <v>4</v>
      </c>
      <c r="L73" s="3">
        <f t="shared" si="7"/>
        <v>85</v>
      </c>
      <c r="N73" s="3">
        <f>23+20</f>
        <v>43</v>
      </c>
      <c r="P73" s="3">
        <v>6</v>
      </c>
    </row>
    <row r="74" spans="2:16" ht="12" customHeight="1">
      <c r="B74" s="14" t="s">
        <v>44</v>
      </c>
      <c r="C74" s="3">
        <f t="shared" si="6"/>
        <v>170</v>
      </c>
      <c r="D74" s="3">
        <v>52</v>
      </c>
      <c r="E74" s="3">
        <v>118</v>
      </c>
      <c r="H74" s="3">
        <v>1</v>
      </c>
      <c r="I74" s="3">
        <v>8</v>
      </c>
      <c r="J74" s="3">
        <v>4</v>
      </c>
      <c r="L74" s="3">
        <f t="shared" si="7"/>
        <v>133</v>
      </c>
      <c r="N74" s="3">
        <f>11+26</f>
        <v>37</v>
      </c>
      <c r="P74" s="3">
        <v>3</v>
      </c>
    </row>
    <row r="75" spans="2:16" ht="12" customHeight="1">
      <c r="B75" s="14" t="s">
        <v>45</v>
      </c>
      <c r="C75" s="3">
        <f t="shared" si="6"/>
        <v>117</v>
      </c>
      <c r="D75" s="3">
        <v>11</v>
      </c>
      <c r="E75" s="3">
        <v>106</v>
      </c>
      <c r="I75" s="3">
        <v>3</v>
      </c>
      <c r="J75" s="3">
        <v>1</v>
      </c>
      <c r="L75" s="3">
        <f t="shared" si="7"/>
        <v>77</v>
      </c>
      <c r="N75" s="3">
        <f>3+37</f>
        <v>40</v>
      </c>
      <c r="P75" s="3">
        <v>6</v>
      </c>
    </row>
    <row r="76" spans="2:16" ht="12" customHeight="1">
      <c r="B76" s="14" t="s">
        <v>46</v>
      </c>
      <c r="C76" s="3">
        <f t="shared" si="6"/>
        <v>131</v>
      </c>
      <c r="D76" s="3">
        <v>82</v>
      </c>
      <c r="E76" s="3">
        <v>49</v>
      </c>
      <c r="I76" s="3">
        <v>2</v>
      </c>
      <c r="J76" s="3">
        <v>3</v>
      </c>
      <c r="L76" s="3">
        <f t="shared" si="7"/>
        <v>94</v>
      </c>
      <c r="N76" s="3">
        <f>19+18</f>
        <v>37</v>
      </c>
      <c r="P76" s="3">
        <v>3</v>
      </c>
    </row>
    <row r="77" spans="2:16" ht="12" customHeight="1">
      <c r="B77" s="14" t="s">
        <v>47</v>
      </c>
      <c r="C77" s="3">
        <f t="shared" si="6"/>
        <v>357</v>
      </c>
      <c r="D77" s="3">
        <v>245</v>
      </c>
      <c r="E77" s="3">
        <v>112</v>
      </c>
      <c r="H77" s="3">
        <v>20</v>
      </c>
      <c r="I77" s="3">
        <v>18</v>
      </c>
      <c r="J77" s="3">
        <f>12+9</f>
        <v>21</v>
      </c>
      <c r="L77" s="3">
        <f t="shared" si="7"/>
        <v>228</v>
      </c>
      <c r="N77" s="3">
        <f>84+45</f>
        <v>129</v>
      </c>
      <c r="P77" s="3">
        <v>13</v>
      </c>
    </row>
    <row r="78" spans="2:16" ht="12" customHeight="1">
      <c r="B78" s="14" t="s">
        <v>48</v>
      </c>
      <c r="C78" s="3">
        <f t="shared" si="6"/>
        <v>43</v>
      </c>
      <c r="D78" s="3">
        <v>33</v>
      </c>
      <c r="E78" s="3">
        <v>10</v>
      </c>
      <c r="H78" s="3">
        <v>1</v>
      </c>
      <c r="L78" s="3">
        <f t="shared" si="7"/>
        <v>29</v>
      </c>
      <c r="N78" s="3">
        <f>8+6</f>
        <v>14</v>
      </c>
      <c r="P78" s="3">
        <v>3</v>
      </c>
    </row>
    <row r="80" spans="1:16" ht="12.75">
      <c r="A80" s="9" t="s">
        <v>4</v>
      </c>
      <c r="C80" s="3">
        <f>SUM(C67:C78)</f>
        <v>1873</v>
      </c>
      <c r="D80" s="3">
        <f>SUM(D67:D78)</f>
        <v>923</v>
      </c>
      <c r="E80" s="3">
        <f>SUM(E67:E78)</f>
        <v>950</v>
      </c>
      <c r="G80" s="3">
        <f>SUM(G67:G78)</f>
        <v>4</v>
      </c>
      <c r="H80" s="3">
        <f>SUM(H67:H78)</f>
        <v>49</v>
      </c>
      <c r="I80" s="3">
        <f>SUM(I67:I78)</f>
        <v>66</v>
      </c>
      <c r="J80" s="3">
        <f>SUM(J67:J78)</f>
        <v>66</v>
      </c>
      <c r="L80" s="3">
        <f>SUM(L67:L78)</f>
        <v>1345</v>
      </c>
      <c r="N80" s="3">
        <f>SUM(N67:N78)</f>
        <v>528</v>
      </c>
      <c r="P80" s="3">
        <f>SUM(P67:P78)</f>
        <v>62</v>
      </c>
    </row>
    <row r="84" spans="1:17" ht="12.75">
      <c r="A84" s="2" t="s">
        <v>218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6" spans="8:16" ht="12.75">
      <c r="H86" s="4" t="s">
        <v>1</v>
      </c>
      <c r="N86" s="5" t="s">
        <v>2</v>
      </c>
      <c r="P86" s="5" t="s">
        <v>3</v>
      </c>
    </row>
    <row r="87" spans="1:16" ht="12.75">
      <c r="A87" s="4" t="s">
        <v>51</v>
      </c>
      <c r="B87" s="6"/>
      <c r="C87" s="7" t="s">
        <v>4</v>
      </c>
      <c r="D87" s="7" t="s">
        <v>5</v>
      </c>
      <c r="E87" s="7" t="s">
        <v>6</v>
      </c>
      <c r="F87" s="6"/>
      <c r="G87" s="7" t="s">
        <v>7</v>
      </c>
      <c r="H87" s="7" t="s">
        <v>8</v>
      </c>
      <c r="I87" s="7" t="s">
        <v>9</v>
      </c>
      <c r="J87" s="7" t="s">
        <v>10</v>
      </c>
      <c r="K87" s="6"/>
      <c r="L87" s="8" t="s">
        <v>11</v>
      </c>
      <c r="M87" s="6"/>
      <c r="N87" s="8" t="s">
        <v>12</v>
      </c>
      <c r="O87" s="6"/>
      <c r="P87" s="8" t="s">
        <v>13</v>
      </c>
    </row>
    <row r="88" spans="2:16" ht="12" customHeight="1">
      <c r="B88" s="9" t="s">
        <v>224</v>
      </c>
      <c r="C88" s="3">
        <f aca="true" t="shared" si="8" ref="C88:C99">D88+E88</f>
        <v>20</v>
      </c>
      <c r="D88" s="3">
        <v>17</v>
      </c>
      <c r="E88" s="3">
        <v>3</v>
      </c>
      <c r="L88" s="3">
        <f aca="true" t="shared" si="9" ref="L88:L99">(C88-N88)</f>
        <v>4</v>
      </c>
      <c r="N88" s="3">
        <f>13+3</f>
        <v>16</v>
      </c>
      <c r="P88" s="3">
        <v>14</v>
      </c>
    </row>
    <row r="89" spans="2:16" ht="12" customHeight="1">
      <c r="B89" s="9" t="s">
        <v>109</v>
      </c>
      <c r="C89" s="3">
        <f t="shared" si="8"/>
        <v>466</v>
      </c>
      <c r="D89" s="3">
        <v>398</v>
      </c>
      <c r="E89" s="3">
        <v>68</v>
      </c>
      <c r="G89" s="3">
        <v>1</v>
      </c>
      <c r="H89" s="3">
        <v>3</v>
      </c>
      <c r="I89" s="3">
        <v>17</v>
      </c>
      <c r="J89" s="3">
        <v>9</v>
      </c>
      <c r="L89" s="3">
        <f t="shared" si="9"/>
        <v>325</v>
      </c>
      <c r="N89" s="3">
        <f>116+25</f>
        <v>141</v>
      </c>
      <c r="P89" s="3">
        <v>3</v>
      </c>
    </row>
    <row r="90" spans="2:16" ht="12" customHeight="1">
      <c r="B90" s="9" t="s">
        <v>52</v>
      </c>
      <c r="C90" s="3">
        <f t="shared" si="8"/>
        <v>514</v>
      </c>
      <c r="D90" s="3">
        <v>459</v>
      </c>
      <c r="E90" s="3">
        <v>55</v>
      </c>
      <c r="G90" s="3">
        <v>1</v>
      </c>
      <c r="H90" s="3">
        <v>14</v>
      </c>
      <c r="I90" s="3">
        <v>19</v>
      </c>
      <c r="J90" s="3">
        <v>14</v>
      </c>
      <c r="L90" s="3">
        <f t="shared" si="9"/>
        <v>266</v>
      </c>
      <c r="N90" s="3">
        <f>219+29</f>
        <v>248</v>
      </c>
      <c r="P90" s="3">
        <v>20</v>
      </c>
    </row>
    <row r="91" spans="2:16" ht="12" customHeight="1">
      <c r="B91" s="9" t="s">
        <v>53</v>
      </c>
      <c r="C91" s="3">
        <f t="shared" si="8"/>
        <v>156</v>
      </c>
      <c r="D91" s="3">
        <v>136</v>
      </c>
      <c r="E91" s="3">
        <v>20</v>
      </c>
      <c r="H91" s="3">
        <v>3</v>
      </c>
      <c r="I91" s="3">
        <v>1</v>
      </c>
      <c r="J91" s="3">
        <v>2</v>
      </c>
      <c r="L91" s="3">
        <f t="shared" si="9"/>
        <v>134</v>
      </c>
      <c r="N91" s="3">
        <v>22</v>
      </c>
      <c r="P91" s="3">
        <v>1</v>
      </c>
    </row>
    <row r="92" spans="2:16" ht="12" customHeight="1">
      <c r="B92" s="9" t="s">
        <v>54</v>
      </c>
      <c r="C92" s="3">
        <f t="shared" si="8"/>
        <v>402</v>
      </c>
      <c r="D92" s="3">
        <v>243</v>
      </c>
      <c r="E92" s="3">
        <v>159</v>
      </c>
      <c r="G92" s="3">
        <v>2</v>
      </c>
      <c r="H92" s="3">
        <v>8</v>
      </c>
      <c r="I92" s="3">
        <v>19</v>
      </c>
      <c r="J92" s="3">
        <v>12</v>
      </c>
      <c r="L92" s="3">
        <f t="shared" si="9"/>
        <v>237</v>
      </c>
      <c r="N92" s="3">
        <f>98+67</f>
        <v>165</v>
      </c>
      <c r="P92" s="3">
        <v>31</v>
      </c>
    </row>
    <row r="93" spans="2:16" ht="12" customHeight="1">
      <c r="B93" s="9" t="s">
        <v>55</v>
      </c>
      <c r="C93" s="3">
        <f t="shared" si="8"/>
        <v>472</v>
      </c>
      <c r="D93" s="3">
        <v>374</v>
      </c>
      <c r="E93" s="3">
        <v>98</v>
      </c>
      <c r="G93" s="3">
        <v>1</v>
      </c>
      <c r="H93" s="3">
        <v>6</v>
      </c>
      <c r="I93" s="3">
        <v>6</v>
      </c>
      <c r="J93" s="3">
        <v>16</v>
      </c>
      <c r="L93" s="3">
        <f t="shared" si="9"/>
        <v>297</v>
      </c>
      <c r="N93" s="3">
        <f>139+36</f>
        <v>175</v>
      </c>
      <c r="P93" s="3">
        <v>37</v>
      </c>
    </row>
    <row r="94" spans="2:16" ht="12" customHeight="1">
      <c r="B94" s="9" t="s">
        <v>56</v>
      </c>
      <c r="C94" s="3">
        <f t="shared" si="8"/>
        <v>434</v>
      </c>
      <c r="D94" s="3">
        <v>411</v>
      </c>
      <c r="E94" s="3">
        <v>23</v>
      </c>
      <c r="H94" s="3">
        <v>13</v>
      </c>
      <c r="I94" s="3">
        <v>14</v>
      </c>
      <c r="J94" s="3">
        <v>18</v>
      </c>
      <c r="L94" s="3">
        <f t="shared" si="9"/>
        <v>299</v>
      </c>
      <c r="N94" s="3">
        <f>121+14</f>
        <v>135</v>
      </c>
      <c r="P94" s="3">
        <v>26</v>
      </c>
    </row>
    <row r="95" spans="2:16" ht="12" customHeight="1">
      <c r="B95" s="9" t="s">
        <v>57</v>
      </c>
      <c r="C95" s="3">
        <f t="shared" si="8"/>
        <v>365</v>
      </c>
      <c r="D95" s="3">
        <v>333</v>
      </c>
      <c r="E95" s="3">
        <v>32</v>
      </c>
      <c r="H95" s="3">
        <v>7</v>
      </c>
      <c r="I95" s="3">
        <v>7</v>
      </c>
      <c r="J95" s="3">
        <v>7</v>
      </c>
      <c r="L95" s="3">
        <f t="shared" si="9"/>
        <v>287</v>
      </c>
      <c r="N95" s="3">
        <f>66+12</f>
        <v>78</v>
      </c>
      <c r="P95" s="3">
        <v>1</v>
      </c>
    </row>
    <row r="96" spans="2:16" ht="12" customHeight="1">
      <c r="B96" s="9" t="s">
        <v>58</v>
      </c>
      <c r="C96" s="3">
        <f t="shared" si="8"/>
        <v>373</v>
      </c>
      <c r="D96" s="3">
        <v>346</v>
      </c>
      <c r="E96" s="3">
        <v>27</v>
      </c>
      <c r="G96" s="3">
        <v>3</v>
      </c>
      <c r="H96" s="3">
        <v>19</v>
      </c>
      <c r="I96" s="3">
        <v>21</v>
      </c>
      <c r="J96" s="3">
        <v>8</v>
      </c>
      <c r="L96" s="3">
        <f t="shared" si="9"/>
        <v>237</v>
      </c>
      <c r="N96" s="3">
        <f>123+13</f>
        <v>136</v>
      </c>
      <c r="P96" s="3">
        <v>48</v>
      </c>
    </row>
    <row r="97" spans="2:16" ht="12" customHeight="1">
      <c r="B97" s="9" t="s">
        <v>59</v>
      </c>
      <c r="C97" s="3">
        <f t="shared" si="8"/>
        <v>230</v>
      </c>
      <c r="D97" s="3">
        <v>166</v>
      </c>
      <c r="E97" s="3">
        <v>64</v>
      </c>
      <c r="G97" s="3">
        <v>1</v>
      </c>
      <c r="H97" s="3">
        <v>9</v>
      </c>
      <c r="I97" s="3">
        <v>14</v>
      </c>
      <c r="J97" s="3">
        <v>7</v>
      </c>
      <c r="L97" s="3">
        <f t="shared" si="9"/>
        <v>142</v>
      </c>
      <c r="N97" s="3">
        <f>65+23</f>
        <v>88</v>
      </c>
      <c r="P97" s="3">
        <v>25</v>
      </c>
    </row>
    <row r="98" spans="2:16" ht="12" customHeight="1">
      <c r="B98" s="9" t="s">
        <v>110</v>
      </c>
      <c r="C98" s="3">
        <f t="shared" si="8"/>
        <v>155</v>
      </c>
      <c r="D98" s="3">
        <v>115</v>
      </c>
      <c r="E98" s="3">
        <v>40</v>
      </c>
      <c r="G98" s="3">
        <v>1</v>
      </c>
      <c r="H98" s="3">
        <v>1</v>
      </c>
      <c r="I98" s="3">
        <v>4</v>
      </c>
      <c r="J98" s="3">
        <v>4</v>
      </c>
      <c r="L98" s="3">
        <f t="shared" si="9"/>
        <v>101</v>
      </c>
      <c r="N98" s="3">
        <f>38+16</f>
        <v>54</v>
      </c>
      <c r="P98" s="3">
        <v>4</v>
      </c>
    </row>
    <row r="99" spans="2:16" ht="12" customHeight="1">
      <c r="B99" s="9" t="s">
        <v>60</v>
      </c>
      <c r="C99" s="3">
        <f t="shared" si="8"/>
        <v>1003</v>
      </c>
      <c r="D99" s="3">
        <v>927</v>
      </c>
      <c r="E99" s="3">
        <v>76</v>
      </c>
      <c r="G99" s="3">
        <v>2</v>
      </c>
      <c r="H99" s="3">
        <v>17</v>
      </c>
      <c r="I99" s="3">
        <v>32</v>
      </c>
      <c r="J99" s="3">
        <v>23</v>
      </c>
      <c r="L99" s="3">
        <f t="shared" si="9"/>
        <v>667</v>
      </c>
      <c r="N99" s="3">
        <f>302+34</f>
        <v>336</v>
      </c>
      <c r="P99" s="3">
        <v>45</v>
      </c>
    </row>
    <row r="100" spans="2:14" ht="12" customHeight="1">
      <c r="B100" s="9" t="s">
        <v>219</v>
      </c>
      <c r="C100" s="3">
        <f>D100+E100</f>
        <v>10</v>
      </c>
      <c r="D100" s="3">
        <v>10</v>
      </c>
      <c r="E100" s="3">
        <v>0</v>
      </c>
      <c r="H100" s="3">
        <v>1</v>
      </c>
      <c r="I100" s="3">
        <v>1</v>
      </c>
      <c r="L100" s="3">
        <f>(C100-N100)</f>
        <v>5</v>
      </c>
      <c r="N100" s="3">
        <v>5</v>
      </c>
    </row>
    <row r="102" spans="1:16" ht="12.75">
      <c r="A102" s="9" t="s">
        <v>4</v>
      </c>
      <c r="C102" s="3">
        <f>SUM(C88:C101)</f>
        <v>4600</v>
      </c>
      <c r="D102" s="3">
        <f>SUM(D88:D101)</f>
        <v>3935</v>
      </c>
      <c r="E102" s="3">
        <f>SUM(E88:E100)</f>
        <v>665</v>
      </c>
      <c r="G102" s="3">
        <f>SUM(G88:G100)</f>
        <v>12</v>
      </c>
      <c r="H102" s="3">
        <f>SUM(H88:H100)</f>
        <v>101</v>
      </c>
      <c r="I102" s="3">
        <f>SUM(I88:I100)</f>
        <v>155</v>
      </c>
      <c r="J102" s="3">
        <f>SUM(J88:J100)</f>
        <v>120</v>
      </c>
      <c r="L102" s="3">
        <f>SUM(L88:L100)</f>
        <v>3001</v>
      </c>
      <c r="N102" s="3">
        <f>SUM(N88:N100)</f>
        <v>1599</v>
      </c>
      <c r="P102" s="3">
        <f>SUM(P88:P100)</f>
        <v>255</v>
      </c>
    </row>
    <row r="105" spans="8:16" ht="12.75">
      <c r="H105" s="4" t="s">
        <v>1</v>
      </c>
      <c r="N105" s="5" t="s">
        <v>2</v>
      </c>
      <c r="P105" s="5" t="s">
        <v>3</v>
      </c>
    </row>
    <row r="106" spans="1:16" ht="12.75">
      <c r="A106" s="4" t="s">
        <v>194</v>
      </c>
      <c r="B106" s="6"/>
      <c r="C106" s="7" t="s">
        <v>4</v>
      </c>
      <c r="D106" s="7" t="s">
        <v>5</v>
      </c>
      <c r="E106" s="7" t="s">
        <v>6</v>
      </c>
      <c r="F106" s="6"/>
      <c r="G106" s="7" t="s">
        <v>7</v>
      </c>
      <c r="H106" s="7" t="s">
        <v>8</v>
      </c>
      <c r="I106" s="7" t="s">
        <v>9</v>
      </c>
      <c r="J106" s="7" t="s">
        <v>10</v>
      </c>
      <c r="K106" s="6"/>
      <c r="L106" s="8" t="s">
        <v>11</v>
      </c>
      <c r="M106" s="6"/>
      <c r="N106" s="8" t="s">
        <v>12</v>
      </c>
      <c r="O106" s="6"/>
      <c r="P106" s="8" t="s">
        <v>13</v>
      </c>
    </row>
    <row r="107" spans="2:16" ht="12.75">
      <c r="B107" s="9" t="s">
        <v>225</v>
      </c>
      <c r="C107" s="3">
        <f aca="true" t="shared" si="10" ref="C107:C121">D107+E107</f>
        <v>40</v>
      </c>
      <c r="D107" s="3">
        <v>4</v>
      </c>
      <c r="E107" s="3">
        <v>36</v>
      </c>
      <c r="H107" s="3">
        <v>2</v>
      </c>
      <c r="J107" s="3">
        <v>2</v>
      </c>
      <c r="L107" s="3">
        <f aca="true" t="shared" si="11" ref="L107:L121">(C107-N107)</f>
        <v>16</v>
      </c>
      <c r="N107" s="3">
        <v>24</v>
      </c>
      <c r="P107" s="3">
        <v>8</v>
      </c>
    </row>
    <row r="108" spans="2:14" ht="12.75">
      <c r="B108" s="9" t="s">
        <v>188</v>
      </c>
      <c r="C108" s="3">
        <f t="shared" si="10"/>
        <v>14</v>
      </c>
      <c r="D108" s="3">
        <v>2</v>
      </c>
      <c r="E108" s="3">
        <v>12</v>
      </c>
      <c r="I108" s="3">
        <v>2</v>
      </c>
      <c r="J108" s="3">
        <v>1</v>
      </c>
      <c r="L108" s="3">
        <f t="shared" si="11"/>
        <v>12</v>
      </c>
      <c r="N108" s="3">
        <v>2</v>
      </c>
    </row>
    <row r="109" spans="2:16" ht="26.25">
      <c r="B109" s="13" t="s">
        <v>195</v>
      </c>
      <c r="C109" s="3">
        <f t="shared" si="10"/>
        <v>436</v>
      </c>
      <c r="D109" s="3">
        <v>22</v>
      </c>
      <c r="E109" s="3">
        <v>414</v>
      </c>
      <c r="G109" s="3">
        <v>1</v>
      </c>
      <c r="H109" s="3">
        <v>18</v>
      </c>
      <c r="I109" s="3">
        <v>9</v>
      </c>
      <c r="J109" s="3">
        <v>15</v>
      </c>
      <c r="L109" s="3">
        <f t="shared" si="11"/>
        <v>328</v>
      </c>
      <c r="N109" s="3">
        <v>108</v>
      </c>
      <c r="P109" s="3">
        <v>3</v>
      </c>
    </row>
    <row r="110" spans="2:16" ht="12.75">
      <c r="B110" s="9" t="s">
        <v>189</v>
      </c>
      <c r="C110" s="3">
        <f t="shared" si="10"/>
        <v>279</v>
      </c>
      <c r="D110" s="3">
        <v>14</v>
      </c>
      <c r="E110" s="3">
        <v>265</v>
      </c>
      <c r="H110" s="3">
        <v>9</v>
      </c>
      <c r="I110" s="3">
        <v>7</v>
      </c>
      <c r="J110" s="3">
        <v>12</v>
      </c>
      <c r="L110" s="3">
        <f t="shared" si="11"/>
        <v>248</v>
      </c>
      <c r="N110" s="3">
        <v>31</v>
      </c>
      <c r="P110" s="3">
        <v>2</v>
      </c>
    </row>
    <row r="111" spans="2:12" ht="12.75">
      <c r="B111" s="9" t="s">
        <v>212</v>
      </c>
      <c r="C111" s="3">
        <f t="shared" si="10"/>
        <v>0</v>
      </c>
      <c r="D111" s="3">
        <v>0</v>
      </c>
      <c r="E111" s="3">
        <v>0</v>
      </c>
      <c r="L111" s="3">
        <f t="shared" si="11"/>
        <v>0</v>
      </c>
    </row>
    <row r="112" spans="2:16" ht="12.75">
      <c r="B112" s="9" t="s">
        <v>190</v>
      </c>
      <c r="C112" s="3">
        <f t="shared" si="10"/>
        <v>202</v>
      </c>
      <c r="D112" s="3">
        <v>12</v>
      </c>
      <c r="E112" s="3">
        <v>190</v>
      </c>
      <c r="G112" s="3">
        <v>2</v>
      </c>
      <c r="H112" s="3">
        <v>1</v>
      </c>
      <c r="I112" s="3">
        <v>3</v>
      </c>
      <c r="J112" s="3">
        <v>2</v>
      </c>
      <c r="L112" s="3">
        <f t="shared" si="11"/>
        <v>158</v>
      </c>
      <c r="N112" s="3">
        <v>44</v>
      </c>
      <c r="P112" s="3">
        <v>8</v>
      </c>
    </row>
    <row r="113" spans="2:16" ht="12.75">
      <c r="B113" s="9" t="s">
        <v>191</v>
      </c>
      <c r="C113" s="3">
        <f t="shared" si="10"/>
        <v>163</v>
      </c>
      <c r="D113" s="3">
        <v>3</v>
      </c>
      <c r="E113" s="3">
        <v>160</v>
      </c>
      <c r="G113" s="3">
        <v>1</v>
      </c>
      <c r="H113" s="3">
        <v>3</v>
      </c>
      <c r="I113" s="3">
        <v>1</v>
      </c>
      <c r="J113" s="3">
        <v>2</v>
      </c>
      <c r="L113" s="3">
        <f t="shared" si="11"/>
        <v>141</v>
      </c>
      <c r="N113" s="3">
        <v>22</v>
      </c>
      <c r="P113" s="3">
        <v>1</v>
      </c>
    </row>
    <row r="114" spans="2:16" ht="12.75">
      <c r="B114" s="9" t="s">
        <v>49</v>
      </c>
      <c r="C114" s="3">
        <f t="shared" si="10"/>
        <v>499</v>
      </c>
      <c r="D114" s="3">
        <v>63</v>
      </c>
      <c r="E114" s="3">
        <v>436</v>
      </c>
      <c r="G114" s="3">
        <v>1</v>
      </c>
      <c r="H114" s="3">
        <v>12</v>
      </c>
      <c r="I114" s="3">
        <v>8</v>
      </c>
      <c r="J114" s="3">
        <v>8</v>
      </c>
      <c r="L114" s="3">
        <f t="shared" si="11"/>
        <v>433</v>
      </c>
      <c r="N114" s="3">
        <v>66</v>
      </c>
      <c r="P114" s="3">
        <v>1</v>
      </c>
    </row>
    <row r="115" spans="2:16" ht="12.75">
      <c r="B115" s="9" t="s">
        <v>192</v>
      </c>
      <c r="C115" s="3">
        <f t="shared" si="10"/>
        <v>31</v>
      </c>
      <c r="D115" s="3">
        <v>5</v>
      </c>
      <c r="E115" s="3">
        <v>26</v>
      </c>
      <c r="H115" s="3">
        <v>1</v>
      </c>
      <c r="I115" s="3">
        <v>2</v>
      </c>
      <c r="L115" s="3">
        <f t="shared" si="11"/>
        <v>29</v>
      </c>
      <c r="N115" s="3">
        <v>2</v>
      </c>
      <c r="P115" s="3">
        <v>1</v>
      </c>
    </row>
    <row r="116" spans="2:14" ht="26.25">
      <c r="B116" s="13" t="s">
        <v>230</v>
      </c>
      <c r="C116" s="3">
        <f t="shared" si="10"/>
        <v>70</v>
      </c>
      <c r="D116" s="3">
        <v>1</v>
      </c>
      <c r="E116" s="3">
        <v>69</v>
      </c>
      <c r="G116" s="3">
        <v>1</v>
      </c>
      <c r="J116" s="3">
        <v>1</v>
      </c>
      <c r="L116" s="3">
        <f t="shared" si="11"/>
        <v>66</v>
      </c>
      <c r="N116" s="3">
        <v>4</v>
      </c>
    </row>
    <row r="117" spans="2:16" ht="12.75">
      <c r="B117" s="9" t="s">
        <v>62</v>
      </c>
      <c r="C117" s="3">
        <f t="shared" si="10"/>
        <v>45</v>
      </c>
      <c r="D117" s="3">
        <v>11</v>
      </c>
      <c r="E117" s="3">
        <v>34</v>
      </c>
      <c r="L117" s="3">
        <f t="shared" si="11"/>
        <v>26</v>
      </c>
      <c r="N117" s="3">
        <v>19</v>
      </c>
      <c r="P117" s="3">
        <v>10</v>
      </c>
    </row>
    <row r="118" spans="2:16" ht="12.75">
      <c r="B118" s="9" t="s">
        <v>125</v>
      </c>
      <c r="C118" s="3">
        <f t="shared" si="10"/>
        <v>742</v>
      </c>
      <c r="D118" s="3">
        <v>326</v>
      </c>
      <c r="E118" s="3">
        <v>416</v>
      </c>
      <c r="G118" s="3">
        <v>5</v>
      </c>
      <c r="H118" s="3">
        <v>27</v>
      </c>
      <c r="I118" s="3">
        <v>19</v>
      </c>
      <c r="J118" s="3">
        <v>19</v>
      </c>
      <c r="L118" s="3">
        <f t="shared" si="11"/>
        <v>589</v>
      </c>
      <c r="N118" s="3">
        <f>67+86</f>
        <v>153</v>
      </c>
      <c r="P118" s="3">
        <v>7</v>
      </c>
    </row>
    <row r="119" spans="2:16" ht="26.25">
      <c r="B119" s="13" t="s">
        <v>208</v>
      </c>
      <c r="C119" s="3">
        <f t="shared" si="10"/>
        <v>190</v>
      </c>
      <c r="D119" s="3">
        <v>75</v>
      </c>
      <c r="E119" s="3">
        <v>115</v>
      </c>
      <c r="H119" s="3">
        <v>6</v>
      </c>
      <c r="I119" s="3">
        <v>9</v>
      </c>
      <c r="J119" s="3">
        <v>8</v>
      </c>
      <c r="L119" s="3">
        <f t="shared" si="11"/>
        <v>141</v>
      </c>
      <c r="N119" s="3">
        <f>17+32</f>
        <v>49</v>
      </c>
      <c r="P119" s="3">
        <v>8</v>
      </c>
    </row>
    <row r="120" spans="2:16" ht="12.75">
      <c r="B120" s="9" t="s">
        <v>193</v>
      </c>
      <c r="C120" s="3">
        <f t="shared" si="10"/>
        <v>29</v>
      </c>
      <c r="D120" s="3">
        <v>3</v>
      </c>
      <c r="E120" s="3">
        <v>26</v>
      </c>
      <c r="H120" s="3">
        <v>1</v>
      </c>
      <c r="L120" s="3">
        <f t="shared" si="11"/>
        <v>18</v>
      </c>
      <c r="N120" s="3">
        <v>11</v>
      </c>
      <c r="P120" s="3">
        <v>5</v>
      </c>
    </row>
    <row r="121" spans="2:14" ht="12.75">
      <c r="B121" s="9" t="s">
        <v>213</v>
      </c>
      <c r="C121" s="3">
        <f t="shared" si="10"/>
        <v>26</v>
      </c>
      <c r="D121" s="3">
        <v>2</v>
      </c>
      <c r="E121" s="3">
        <v>24</v>
      </c>
      <c r="L121" s="3">
        <f t="shared" si="11"/>
        <v>18</v>
      </c>
      <c r="N121" s="3">
        <v>8</v>
      </c>
    </row>
    <row r="123" spans="1:16" ht="12.75">
      <c r="A123" s="9" t="s">
        <v>4</v>
      </c>
      <c r="C123" s="3">
        <f>SUM(C107:C122)</f>
        <v>2766</v>
      </c>
      <c r="D123" s="3">
        <f>SUM(D107:D122)</f>
        <v>543</v>
      </c>
      <c r="E123" s="3">
        <f>SUM(E107:E121)</f>
        <v>2223</v>
      </c>
      <c r="G123" s="3">
        <f>SUM(G107:G121)</f>
        <v>11</v>
      </c>
      <c r="H123" s="3">
        <f>SUM(H107:H121)</f>
        <v>80</v>
      </c>
      <c r="I123" s="3">
        <f>SUM(I107:I121)</f>
        <v>60</v>
      </c>
      <c r="J123" s="3">
        <f>SUM(J107:J121)</f>
        <v>70</v>
      </c>
      <c r="L123" s="3">
        <f>SUM(L107:L122)</f>
        <v>2223</v>
      </c>
      <c r="N123" s="3">
        <f>SUM(N107:N121)</f>
        <v>543</v>
      </c>
      <c r="P123" s="3">
        <f>SUM(P107:P121)</f>
        <v>54</v>
      </c>
    </row>
    <row r="126" ht="12.75">
      <c r="A126" s="9"/>
    </row>
    <row r="127" ht="12.75">
      <c r="A127" s="10"/>
    </row>
    <row r="128" spans="1:17" ht="12.75">
      <c r="A128" s="2" t="s">
        <v>218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30" spans="8:16" ht="12.75">
      <c r="H130" s="4" t="s">
        <v>1</v>
      </c>
      <c r="N130" s="5" t="s">
        <v>2</v>
      </c>
      <c r="P130" s="5" t="s">
        <v>3</v>
      </c>
    </row>
    <row r="131" spans="1:16" ht="12.75">
      <c r="A131" s="4" t="s">
        <v>64</v>
      </c>
      <c r="B131" s="6"/>
      <c r="C131" s="7" t="s">
        <v>4</v>
      </c>
      <c r="D131" s="7" t="s">
        <v>5</v>
      </c>
      <c r="E131" s="7" t="s">
        <v>6</v>
      </c>
      <c r="F131" s="6"/>
      <c r="G131" s="7" t="s">
        <v>7</v>
      </c>
      <c r="H131" s="7" t="s">
        <v>8</v>
      </c>
      <c r="I131" s="7" t="s">
        <v>9</v>
      </c>
      <c r="J131" s="7" t="s">
        <v>10</v>
      </c>
      <c r="K131" s="6"/>
      <c r="L131" s="8" t="s">
        <v>11</v>
      </c>
      <c r="M131" s="6"/>
      <c r="N131" s="8" t="s">
        <v>12</v>
      </c>
      <c r="O131" s="6"/>
      <c r="P131" s="8" t="s">
        <v>13</v>
      </c>
    </row>
    <row r="132" spans="2:16" ht="12" customHeight="1">
      <c r="B132" s="14" t="s">
        <v>196</v>
      </c>
      <c r="C132" s="3">
        <f aca="true" t="shared" si="12" ref="C132:C142">D132+E132</f>
        <v>51</v>
      </c>
      <c r="D132" s="3">
        <v>36</v>
      </c>
      <c r="E132" s="3">
        <v>15</v>
      </c>
      <c r="J132" s="3">
        <v>1</v>
      </c>
      <c r="L132" s="3">
        <f aca="true" t="shared" si="13" ref="L132:L142">(C132-N132)</f>
        <v>0</v>
      </c>
      <c r="N132" s="3">
        <f>36+15</f>
        <v>51</v>
      </c>
      <c r="P132" s="3">
        <f>35+15</f>
        <v>50</v>
      </c>
    </row>
    <row r="133" spans="2:16" ht="12" customHeight="1">
      <c r="B133" s="14" t="s">
        <v>226</v>
      </c>
      <c r="C133" s="3">
        <f t="shared" si="12"/>
        <v>179</v>
      </c>
      <c r="D133" s="3">
        <v>87</v>
      </c>
      <c r="E133" s="3">
        <v>92</v>
      </c>
      <c r="G133" s="3">
        <v>1</v>
      </c>
      <c r="H133" s="3">
        <v>2</v>
      </c>
      <c r="I133" s="3">
        <v>14</v>
      </c>
      <c r="J133" s="3">
        <v>4</v>
      </c>
      <c r="L133" s="3">
        <f t="shared" si="13"/>
        <v>148</v>
      </c>
      <c r="N133" s="3">
        <f>12+19</f>
        <v>31</v>
      </c>
      <c r="P133" s="3">
        <v>12</v>
      </c>
    </row>
    <row r="134" spans="2:16" ht="12" customHeight="1">
      <c r="B134" s="14" t="s">
        <v>171</v>
      </c>
      <c r="C134" s="3">
        <f t="shared" si="12"/>
        <v>790</v>
      </c>
      <c r="D134" s="3">
        <v>388</v>
      </c>
      <c r="E134" s="3">
        <v>402</v>
      </c>
      <c r="G134" s="3">
        <v>2</v>
      </c>
      <c r="H134" s="3">
        <v>26</v>
      </c>
      <c r="I134" s="3">
        <v>24</v>
      </c>
      <c r="J134" s="3">
        <f>8+15</f>
        <v>23</v>
      </c>
      <c r="L134" s="3">
        <f t="shared" si="13"/>
        <v>633</v>
      </c>
      <c r="N134" s="3">
        <f>72+85</f>
        <v>157</v>
      </c>
      <c r="P134" s="3">
        <v>12</v>
      </c>
    </row>
    <row r="135" spans="2:16" ht="12" customHeight="1">
      <c r="B135" s="14" t="s">
        <v>65</v>
      </c>
      <c r="C135" s="3">
        <f t="shared" si="12"/>
        <v>74</v>
      </c>
      <c r="D135" s="3">
        <v>22</v>
      </c>
      <c r="E135" s="3">
        <v>52</v>
      </c>
      <c r="H135" s="3">
        <v>1</v>
      </c>
      <c r="I135" s="3">
        <v>2</v>
      </c>
      <c r="J135" s="3">
        <v>2</v>
      </c>
      <c r="L135" s="3">
        <f t="shared" si="13"/>
        <v>57</v>
      </c>
      <c r="N135" s="3">
        <v>17</v>
      </c>
      <c r="P135" s="3">
        <v>2</v>
      </c>
    </row>
    <row r="136" spans="2:14" ht="12" customHeight="1">
      <c r="B136" s="14" t="s">
        <v>66</v>
      </c>
      <c r="C136" s="3">
        <f t="shared" si="12"/>
        <v>68</v>
      </c>
      <c r="D136" s="3">
        <v>18</v>
      </c>
      <c r="E136" s="3">
        <v>50</v>
      </c>
      <c r="H136" s="3">
        <v>2</v>
      </c>
      <c r="I136" s="3">
        <v>2</v>
      </c>
      <c r="J136" s="3">
        <v>5</v>
      </c>
      <c r="L136" s="3">
        <f t="shared" si="13"/>
        <v>62</v>
      </c>
      <c r="N136" s="3">
        <v>6</v>
      </c>
    </row>
    <row r="137" spans="2:16" ht="12" customHeight="1">
      <c r="B137" s="14" t="s">
        <v>67</v>
      </c>
      <c r="C137" s="3">
        <f t="shared" si="12"/>
        <v>98</v>
      </c>
      <c r="D137" s="3">
        <v>59</v>
      </c>
      <c r="E137" s="3">
        <v>39</v>
      </c>
      <c r="H137" s="3">
        <v>7</v>
      </c>
      <c r="I137" s="3">
        <v>8</v>
      </c>
      <c r="J137" s="3">
        <v>2</v>
      </c>
      <c r="L137" s="3">
        <f t="shared" si="13"/>
        <v>59</v>
      </c>
      <c r="N137" s="3">
        <f>24+15</f>
        <v>39</v>
      </c>
      <c r="P137" s="3">
        <v>13</v>
      </c>
    </row>
    <row r="138" spans="2:16" ht="12" customHeight="1">
      <c r="B138" s="14" t="s">
        <v>197</v>
      </c>
      <c r="C138" s="3">
        <f t="shared" si="12"/>
        <v>12</v>
      </c>
      <c r="D138" s="3">
        <v>4</v>
      </c>
      <c r="E138" s="3">
        <v>8</v>
      </c>
      <c r="H138" s="3">
        <v>1</v>
      </c>
      <c r="I138" s="3">
        <v>2</v>
      </c>
      <c r="L138" s="3">
        <f t="shared" si="13"/>
        <v>8</v>
      </c>
      <c r="N138" s="3">
        <v>4</v>
      </c>
      <c r="P138" s="3">
        <v>2</v>
      </c>
    </row>
    <row r="139" spans="2:16" ht="12" customHeight="1">
      <c r="B139" s="14" t="s">
        <v>198</v>
      </c>
      <c r="C139" s="3">
        <f t="shared" si="12"/>
        <v>470</v>
      </c>
      <c r="D139" s="3">
        <v>194</v>
      </c>
      <c r="E139" s="3">
        <v>276</v>
      </c>
      <c r="G139" s="3">
        <v>3</v>
      </c>
      <c r="H139" s="3">
        <v>18</v>
      </c>
      <c r="I139" s="3">
        <f>13+17</f>
        <v>30</v>
      </c>
      <c r="J139" s="3">
        <v>19</v>
      </c>
      <c r="L139" s="3">
        <f t="shared" si="13"/>
        <v>371</v>
      </c>
      <c r="N139" s="3">
        <f>39+60</f>
        <v>99</v>
      </c>
      <c r="P139" s="3">
        <v>4</v>
      </c>
    </row>
    <row r="140" spans="2:16" ht="12" customHeight="1">
      <c r="B140" s="14" t="s">
        <v>68</v>
      </c>
      <c r="C140" s="3">
        <f t="shared" si="12"/>
        <v>8</v>
      </c>
      <c r="D140" s="3">
        <v>7</v>
      </c>
      <c r="E140" s="3">
        <v>1</v>
      </c>
      <c r="L140" s="3">
        <f t="shared" si="13"/>
        <v>4</v>
      </c>
      <c r="N140" s="3">
        <v>4</v>
      </c>
      <c r="P140" s="3">
        <v>3</v>
      </c>
    </row>
    <row r="141" spans="2:16" ht="12" customHeight="1">
      <c r="B141" s="14" t="s">
        <v>69</v>
      </c>
      <c r="C141" s="3">
        <f t="shared" si="12"/>
        <v>106</v>
      </c>
      <c r="D141" s="3">
        <v>68</v>
      </c>
      <c r="E141" s="3">
        <v>38</v>
      </c>
      <c r="H141" s="3">
        <v>4</v>
      </c>
      <c r="I141" s="3">
        <v>7</v>
      </c>
      <c r="J141" s="3">
        <v>2</v>
      </c>
      <c r="L141" s="3">
        <f t="shared" si="13"/>
        <v>73</v>
      </c>
      <c r="N141" s="3">
        <f>21+12</f>
        <v>33</v>
      </c>
      <c r="P141" s="3">
        <v>6</v>
      </c>
    </row>
    <row r="142" spans="2:16" ht="12" customHeight="1">
      <c r="B142" s="14" t="s">
        <v>111</v>
      </c>
      <c r="C142" s="3">
        <f t="shared" si="12"/>
        <v>214</v>
      </c>
      <c r="D142" s="3">
        <v>70</v>
      </c>
      <c r="E142" s="3">
        <v>144</v>
      </c>
      <c r="G142" s="3">
        <v>1</v>
      </c>
      <c r="H142" s="3">
        <v>22</v>
      </c>
      <c r="I142" s="3">
        <v>2</v>
      </c>
      <c r="J142" s="3">
        <v>2</v>
      </c>
      <c r="L142" s="3">
        <f t="shared" si="13"/>
        <v>177</v>
      </c>
      <c r="N142" s="3">
        <f>13+24</f>
        <v>37</v>
      </c>
      <c r="P142" s="3">
        <v>3</v>
      </c>
    </row>
    <row r="143" spans="2:16" ht="12" customHeight="1">
      <c r="B143" s="14" t="s">
        <v>199</v>
      </c>
      <c r="C143" s="3">
        <f aca="true" t="shared" si="14" ref="C143:C182">D143+E143</f>
        <v>107</v>
      </c>
      <c r="D143" s="3">
        <v>101</v>
      </c>
      <c r="E143" s="3">
        <v>6</v>
      </c>
      <c r="I143" s="3">
        <v>3</v>
      </c>
      <c r="J143" s="3">
        <v>3</v>
      </c>
      <c r="L143" s="3">
        <f aca="true" t="shared" si="15" ref="L143:L182">(C143-N143)</f>
        <v>79</v>
      </c>
      <c r="N143" s="3">
        <v>28</v>
      </c>
      <c r="P143" s="3">
        <v>10</v>
      </c>
    </row>
    <row r="144" spans="2:14" ht="12" customHeight="1">
      <c r="B144" s="14" t="s">
        <v>71</v>
      </c>
      <c r="C144" s="3">
        <f t="shared" si="14"/>
        <v>8</v>
      </c>
      <c r="D144" s="3">
        <v>7</v>
      </c>
      <c r="E144" s="3">
        <v>1</v>
      </c>
      <c r="L144" s="3">
        <f t="shared" si="15"/>
        <v>7</v>
      </c>
      <c r="N144" s="3">
        <v>1</v>
      </c>
    </row>
    <row r="145" spans="2:16" ht="12" customHeight="1">
      <c r="B145" s="14" t="s">
        <v>200</v>
      </c>
      <c r="C145" s="3">
        <f t="shared" si="14"/>
        <v>67</v>
      </c>
      <c r="D145" s="3">
        <v>51</v>
      </c>
      <c r="E145" s="3">
        <v>16</v>
      </c>
      <c r="H145" s="3">
        <v>5</v>
      </c>
      <c r="I145" s="3">
        <v>2</v>
      </c>
      <c r="L145" s="3">
        <f t="shared" si="15"/>
        <v>48</v>
      </c>
      <c r="N145" s="3">
        <f>13+6</f>
        <v>19</v>
      </c>
      <c r="P145" s="3">
        <v>8</v>
      </c>
    </row>
    <row r="146" spans="2:16" ht="12" customHeight="1">
      <c r="B146" s="14" t="s">
        <v>72</v>
      </c>
      <c r="C146" s="3">
        <f t="shared" si="14"/>
        <v>221</v>
      </c>
      <c r="D146" s="3">
        <v>73</v>
      </c>
      <c r="E146" s="3">
        <v>148</v>
      </c>
      <c r="G146" s="3">
        <v>1</v>
      </c>
      <c r="H146" s="3">
        <v>1</v>
      </c>
      <c r="I146" s="3">
        <v>8</v>
      </c>
      <c r="J146" s="3">
        <v>4</v>
      </c>
      <c r="L146" s="3">
        <f t="shared" si="15"/>
        <v>191</v>
      </c>
      <c r="N146" s="3">
        <f>7+23</f>
        <v>30</v>
      </c>
      <c r="P146" s="3">
        <v>1</v>
      </c>
    </row>
    <row r="147" spans="2:14" ht="12" customHeight="1">
      <c r="B147" s="14" t="s">
        <v>201</v>
      </c>
      <c r="C147" s="3">
        <f t="shared" si="14"/>
        <v>39</v>
      </c>
      <c r="D147" s="3">
        <v>23</v>
      </c>
      <c r="E147" s="3">
        <v>16</v>
      </c>
      <c r="H147" s="3">
        <v>1</v>
      </c>
      <c r="I147" s="3">
        <v>1</v>
      </c>
      <c r="J147" s="3">
        <v>1</v>
      </c>
      <c r="L147" s="3">
        <f t="shared" si="15"/>
        <v>31</v>
      </c>
      <c r="N147" s="3">
        <v>8</v>
      </c>
    </row>
    <row r="148" spans="2:16" ht="12" customHeight="1">
      <c r="B148" s="14" t="s">
        <v>73</v>
      </c>
      <c r="C148" s="3">
        <f t="shared" si="14"/>
        <v>14</v>
      </c>
      <c r="D148" s="3">
        <v>3</v>
      </c>
      <c r="E148" s="3">
        <v>11</v>
      </c>
      <c r="L148" s="3">
        <f t="shared" si="15"/>
        <v>10</v>
      </c>
      <c r="N148" s="3">
        <v>4</v>
      </c>
      <c r="P148" s="3">
        <v>1</v>
      </c>
    </row>
    <row r="149" spans="2:16" ht="12" customHeight="1">
      <c r="B149" s="14" t="s">
        <v>74</v>
      </c>
      <c r="C149" s="3">
        <f t="shared" si="14"/>
        <v>57</v>
      </c>
      <c r="D149" s="3">
        <v>19</v>
      </c>
      <c r="E149" s="3">
        <v>38</v>
      </c>
      <c r="H149" s="3">
        <v>4</v>
      </c>
      <c r="I149" s="3">
        <v>6</v>
      </c>
      <c r="J149" s="3">
        <v>6</v>
      </c>
      <c r="L149" s="3">
        <f t="shared" si="15"/>
        <v>32</v>
      </c>
      <c r="N149" s="3">
        <f>7+18</f>
        <v>25</v>
      </c>
      <c r="P149" s="3">
        <v>2</v>
      </c>
    </row>
    <row r="150" spans="2:14" ht="12" customHeight="1">
      <c r="B150" s="14" t="s">
        <v>75</v>
      </c>
      <c r="C150" s="3">
        <f t="shared" si="14"/>
        <v>24</v>
      </c>
      <c r="D150" s="3">
        <v>21</v>
      </c>
      <c r="E150" s="3">
        <v>3</v>
      </c>
      <c r="H150" s="3">
        <v>1</v>
      </c>
      <c r="L150" s="3">
        <f t="shared" si="15"/>
        <v>19</v>
      </c>
      <c r="N150" s="3">
        <v>5</v>
      </c>
    </row>
    <row r="151" spans="2:14" ht="12" customHeight="1">
      <c r="B151" s="14" t="s">
        <v>76</v>
      </c>
      <c r="C151" s="3">
        <f t="shared" si="14"/>
        <v>12</v>
      </c>
      <c r="D151" s="3">
        <v>5</v>
      </c>
      <c r="E151" s="3">
        <v>7</v>
      </c>
      <c r="I151" s="3">
        <v>1</v>
      </c>
      <c r="L151" s="3">
        <f t="shared" si="15"/>
        <v>10</v>
      </c>
      <c r="N151" s="3">
        <v>2</v>
      </c>
    </row>
    <row r="152" spans="2:14" ht="12" customHeight="1">
      <c r="B152" s="14" t="s">
        <v>77</v>
      </c>
      <c r="C152" s="3">
        <f t="shared" si="14"/>
        <v>226</v>
      </c>
      <c r="D152" s="3">
        <v>172</v>
      </c>
      <c r="E152" s="3">
        <v>54</v>
      </c>
      <c r="H152" s="3">
        <v>6</v>
      </c>
      <c r="I152" s="3">
        <v>5</v>
      </c>
      <c r="J152" s="3">
        <v>3</v>
      </c>
      <c r="L152" s="3">
        <f t="shared" si="15"/>
        <v>182</v>
      </c>
      <c r="N152" s="3">
        <f>32+12</f>
        <v>44</v>
      </c>
    </row>
    <row r="153" spans="2:14" ht="12" customHeight="1">
      <c r="B153" s="14" t="s">
        <v>78</v>
      </c>
      <c r="C153" s="3">
        <f t="shared" si="14"/>
        <v>180</v>
      </c>
      <c r="D153" s="3">
        <v>118</v>
      </c>
      <c r="E153" s="3">
        <v>62</v>
      </c>
      <c r="H153" s="3">
        <v>17</v>
      </c>
      <c r="I153" s="3">
        <v>5</v>
      </c>
      <c r="J153" s="3">
        <v>11</v>
      </c>
      <c r="L153" s="3">
        <f t="shared" si="15"/>
        <v>150</v>
      </c>
      <c r="N153" s="3">
        <f>25+5</f>
        <v>30</v>
      </c>
    </row>
    <row r="154" spans="2:14" ht="12" customHeight="1">
      <c r="B154" s="14" t="s">
        <v>202</v>
      </c>
      <c r="C154" s="3">
        <f t="shared" si="14"/>
        <v>187</v>
      </c>
      <c r="D154" s="3">
        <v>82</v>
      </c>
      <c r="E154" s="3">
        <v>105</v>
      </c>
      <c r="H154" s="3">
        <v>5</v>
      </c>
      <c r="I154" s="3">
        <v>4</v>
      </c>
      <c r="J154" s="3">
        <v>4</v>
      </c>
      <c r="L154" s="3">
        <f t="shared" si="15"/>
        <v>151</v>
      </c>
      <c r="N154" s="3">
        <f>16+20</f>
        <v>36</v>
      </c>
    </row>
    <row r="155" spans="2:16" ht="12" customHeight="1">
      <c r="B155" s="14" t="s">
        <v>80</v>
      </c>
      <c r="C155" s="3">
        <f t="shared" si="14"/>
        <v>143</v>
      </c>
      <c r="D155" s="3">
        <v>79</v>
      </c>
      <c r="E155" s="3">
        <v>64</v>
      </c>
      <c r="H155" s="3">
        <v>10</v>
      </c>
      <c r="I155" s="3">
        <v>1</v>
      </c>
      <c r="J155" s="3">
        <v>3</v>
      </c>
      <c r="L155" s="3">
        <f t="shared" si="15"/>
        <v>123</v>
      </c>
      <c r="N155" s="3">
        <f>15+5</f>
        <v>20</v>
      </c>
      <c r="P155" s="3">
        <v>4</v>
      </c>
    </row>
    <row r="156" spans="2:14" ht="12" customHeight="1">
      <c r="B156" s="14" t="s">
        <v>81</v>
      </c>
      <c r="C156" s="3">
        <f t="shared" si="14"/>
        <v>33</v>
      </c>
      <c r="D156" s="3">
        <v>10</v>
      </c>
      <c r="E156" s="3">
        <v>23</v>
      </c>
      <c r="I156" s="3">
        <v>2</v>
      </c>
      <c r="J156" s="3">
        <v>1</v>
      </c>
      <c r="L156" s="3">
        <f t="shared" si="15"/>
        <v>28</v>
      </c>
      <c r="N156" s="3">
        <v>5</v>
      </c>
    </row>
    <row r="157" spans="2:16" ht="12" customHeight="1">
      <c r="B157" s="14" t="s">
        <v>82</v>
      </c>
      <c r="C157" s="3">
        <f t="shared" si="14"/>
        <v>121</v>
      </c>
      <c r="D157" s="3">
        <v>83</v>
      </c>
      <c r="E157" s="3">
        <v>38</v>
      </c>
      <c r="H157" s="3">
        <v>2</v>
      </c>
      <c r="I157" s="3">
        <v>9</v>
      </c>
      <c r="J157" s="3">
        <v>3</v>
      </c>
      <c r="L157" s="3">
        <f t="shared" si="15"/>
        <v>84</v>
      </c>
      <c r="N157" s="3">
        <v>37</v>
      </c>
      <c r="P157" s="3">
        <v>5</v>
      </c>
    </row>
    <row r="158" spans="2:14" ht="12" customHeight="1">
      <c r="B158" s="14" t="s">
        <v>83</v>
      </c>
      <c r="C158" s="3">
        <f t="shared" si="14"/>
        <v>113</v>
      </c>
      <c r="D158" s="3">
        <v>74</v>
      </c>
      <c r="E158" s="3">
        <v>39</v>
      </c>
      <c r="H158" s="3">
        <v>3</v>
      </c>
      <c r="I158" s="3">
        <v>1</v>
      </c>
      <c r="J158" s="3">
        <v>3</v>
      </c>
      <c r="L158" s="3">
        <f t="shared" si="15"/>
        <v>62</v>
      </c>
      <c r="N158" s="3">
        <f>25+26</f>
        <v>51</v>
      </c>
    </row>
    <row r="159" spans="2:14" ht="12" customHeight="1">
      <c r="B159" s="14" t="s">
        <v>84</v>
      </c>
      <c r="C159" s="3">
        <f t="shared" si="14"/>
        <v>91</v>
      </c>
      <c r="D159" s="3">
        <v>46</v>
      </c>
      <c r="E159" s="3">
        <v>45</v>
      </c>
      <c r="I159" s="3">
        <v>2</v>
      </c>
      <c r="J159" s="3">
        <v>2</v>
      </c>
      <c r="L159" s="3">
        <f t="shared" si="15"/>
        <v>83</v>
      </c>
      <c r="N159" s="3">
        <v>8</v>
      </c>
    </row>
    <row r="160" spans="2:16" ht="12" customHeight="1">
      <c r="B160" s="14" t="s">
        <v>85</v>
      </c>
      <c r="C160" s="3">
        <f t="shared" si="14"/>
        <v>20</v>
      </c>
      <c r="D160" s="3">
        <v>10</v>
      </c>
      <c r="E160" s="3">
        <v>10</v>
      </c>
      <c r="H160" s="3">
        <v>1</v>
      </c>
      <c r="L160" s="3">
        <f t="shared" si="15"/>
        <v>17</v>
      </c>
      <c r="N160" s="3">
        <v>3</v>
      </c>
      <c r="P160" s="3">
        <v>2</v>
      </c>
    </row>
    <row r="161" spans="2:16" ht="12" customHeight="1">
      <c r="B161" s="14" t="s">
        <v>86</v>
      </c>
      <c r="C161" s="3">
        <f t="shared" si="14"/>
        <v>51</v>
      </c>
      <c r="D161" s="3">
        <v>25</v>
      </c>
      <c r="E161" s="3">
        <v>26</v>
      </c>
      <c r="H161" s="3">
        <v>4</v>
      </c>
      <c r="I161" s="3">
        <v>2</v>
      </c>
      <c r="J161" s="3">
        <v>1</v>
      </c>
      <c r="L161" s="3">
        <f t="shared" si="15"/>
        <v>41</v>
      </c>
      <c r="N161" s="3">
        <v>10</v>
      </c>
      <c r="P161" s="3">
        <v>2</v>
      </c>
    </row>
    <row r="162" spans="2:16" ht="12" customHeight="1">
      <c r="B162" s="14" t="s">
        <v>87</v>
      </c>
      <c r="C162" s="3">
        <f t="shared" si="14"/>
        <v>34</v>
      </c>
      <c r="D162" s="3">
        <v>29</v>
      </c>
      <c r="E162" s="3">
        <v>5</v>
      </c>
      <c r="H162" s="3">
        <v>1</v>
      </c>
      <c r="J162" s="3">
        <v>2</v>
      </c>
      <c r="L162" s="3">
        <f t="shared" si="15"/>
        <v>31</v>
      </c>
      <c r="N162" s="3">
        <v>3</v>
      </c>
      <c r="P162" s="3">
        <v>1</v>
      </c>
    </row>
    <row r="163" spans="2:16" ht="12" customHeight="1">
      <c r="B163" s="14" t="s">
        <v>88</v>
      </c>
      <c r="C163" s="3">
        <f t="shared" si="14"/>
        <v>72</v>
      </c>
      <c r="D163" s="3">
        <v>62</v>
      </c>
      <c r="E163" s="3">
        <v>10</v>
      </c>
      <c r="G163" s="3">
        <v>1</v>
      </c>
      <c r="H163" s="3">
        <v>1</v>
      </c>
      <c r="I163" s="3">
        <v>2</v>
      </c>
      <c r="J163" s="3">
        <v>2</v>
      </c>
      <c r="L163" s="3">
        <f t="shared" si="15"/>
        <v>56</v>
      </c>
      <c r="N163" s="3">
        <v>16</v>
      </c>
      <c r="P163" s="3">
        <v>3</v>
      </c>
    </row>
    <row r="164" spans="2:16" ht="12" customHeight="1">
      <c r="B164" s="14" t="s">
        <v>89</v>
      </c>
      <c r="C164" s="3">
        <f t="shared" si="14"/>
        <v>252</v>
      </c>
      <c r="D164" s="3">
        <v>149</v>
      </c>
      <c r="E164" s="3">
        <v>103</v>
      </c>
      <c r="H164" s="3">
        <v>12</v>
      </c>
      <c r="I164" s="3">
        <v>7</v>
      </c>
      <c r="J164" s="3">
        <v>6</v>
      </c>
      <c r="L164" s="3">
        <f t="shared" si="15"/>
        <v>205</v>
      </c>
      <c r="N164" s="3">
        <f>28+19</f>
        <v>47</v>
      </c>
      <c r="P164" s="3">
        <v>3</v>
      </c>
    </row>
    <row r="165" spans="2:16" ht="12" customHeight="1">
      <c r="B165" s="14" t="s">
        <v>90</v>
      </c>
      <c r="C165" s="3">
        <f t="shared" si="14"/>
        <v>115</v>
      </c>
      <c r="D165" s="3">
        <v>35</v>
      </c>
      <c r="E165" s="3">
        <v>80</v>
      </c>
      <c r="G165" s="3">
        <v>1</v>
      </c>
      <c r="H165" s="3">
        <v>2</v>
      </c>
      <c r="I165" s="3">
        <v>3</v>
      </c>
      <c r="J165" s="3">
        <v>2</v>
      </c>
      <c r="L165" s="3">
        <f t="shared" si="15"/>
        <v>80</v>
      </c>
      <c r="N165" s="3">
        <v>35</v>
      </c>
      <c r="P165" s="3">
        <v>1</v>
      </c>
    </row>
    <row r="166" spans="2:16" ht="12" customHeight="1">
      <c r="B166" s="14" t="s">
        <v>91</v>
      </c>
      <c r="C166" s="3">
        <f t="shared" si="14"/>
        <v>26</v>
      </c>
      <c r="D166" s="3">
        <v>5</v>
      </c>
      <c r="E166" s="3">
        <v>21</v>
      </c>
      <c r="H166" s="3">
        <v>1</v>
      </c>
      <c r="I166" s="3">
        <v>2</v>
      </c>
      <c r="L166" s="3">
        <f t="shared" si="15"/>
        <v>14</v>
      </c>
      <c r="N166" s="3">
        <f>3+9</f>
        <v>12</v>
      </c>
      <c r="P166" s="3">
        <v>2</v>
      </c>
    </row>
    <row r="167" spans="2:16" ht="12" customHeight="1">
      <c r="B167" s="14" t="s">
        <v>113</v>
      </c>
      <c r="C167" s="3">
        <f t="shared" si="14"/>
        <v>144</v>
      </c>
      <c r="D167" s="3">
        <v>132</v>
      </c>
      <c r="E167" s="3">
        <v>12</v>
      </c>
      <c r="H167" s="3">
        <v>2</v>
      </c>
      <c r="I167" s="3">
        <v>6</v>
      </c>
      <c r="J167" s="3">
        <v>9</v>
      </c>
      <c r="L167" s="3">
        <f t="shared" si="15"/>
        <v>111</v>
      </c>
      <c r="N167" s="3">
        <f>28+5</f>
        <v>33</v>
      </c>
      <c r="P167" s="3">
        <v>11</v>
      </c>
    </row>
    <row r="168" spans="2:16" ht="12" customHeight="1">
      <c r="B168" s="14" t="s">
        <v>203</v>
      </c>
      <c r="C168" s="3">
        <f t="shared" si="14"/>
        <v>283</v>
      </c>
      <c r="D168" s="3">
        <v>99</v>
      </c>
      <c r="E168" s="3">
        <v>184</v>
      </c>
      <c r="H168" s="3">
        <v>7</v>
      </c>
      <c r="I168" s="3">
        <v>6</v>
      </c>
      <c r="J168" s="3">
        <v>8</v>
      </c>
      <c r="L168" s="3">
        <f t="shared" si="15"/>
        <v>224</v>
      </c>
      <c r="N168" s="3">
        <f>17+42</f>
        <v>59</v>
      </c>
      <c r="P168" s="3">
        <v>5</v>
      </c>
    </row>
    <row r="169" spans="2:16" ht="12" customHeight="1">
      <c r="B169" s="14" t="s">
        <v>204</v>
      </c>
      <c r="C169" s="3">
        <f t="shared" si="14"/>
        <v>49</v>
      </c>
      <c r="D169" s="3">
        <v>25</v>
      </c>
      <c r="E169" s="3">
        <v>24</v>
      </c>
      <c r="G169" s="3">
        <v>1</v>
      </c>
      <c r="H169" s="3">
        <v>6</v>
      </c>
      <c r="I169" s="3">
        <v>5</v>
      </c>
      <c r="L169" s="3">
        <f t="shared" si="15"/>
        <v>33</v>
      </c>
      <c r="N169" s="3">
        <f>6+10</f>
        <v>16</v>
      </c>
      <c r="P169" s="3">
        <v>2</v>
      </c>
    </row>
    <row r="170" spans="2:16" ht="12" customHeight="1">
      <c r="B170" s="14" t="s">
        <v>92</v>
      </c>
      <c r="C170" s="3">
        <f t="shared" si="14"/>
        <v>16</v>
      </c>
      <c r="D170" s="3">
        <v>7</v>
      </c>
      <c r="E170" s="3">
        <v>9</v>
      </c>
      <c r="H170" s="3">
        <v>3</v>
      </c>
      <c r="J170" s="3">
        <v>1</v>
      </c>
      <c r="L170" s="3">
        <f t="shared" si="15"/>
        <v>12</v>
      </c>
      <c r="N170" s="3">
        <f>2+2</f>
        <v>4</v>
      </c>
      <c r="P170" s="3">
        <v>1</v>
      </c>
    </row>
    <row r="171" spans="2:16" ht="12" customHeight="1">
      <c r="B171" s="14" t="s">
        <v>205</v>
      </c>
      <c r="C171" s="3">
        <f t="shared" si="14"/>
        <v>63</v>
      </c>
      <c r="D171" s="3">
        <v>20</v>
      </c>
      <c r="E171" s="3">
        <v>43</v>
      </c>
      <c r="H171" s="3">
        <v>3</v>
      </c>
      <c r="I171" s="3">
        <v>5</v>
      </c>
      <c r="J171" s="3">
        <v>2</v>
      </c>
      <c r="L171" s="3">
        <f t="shared" si="15"/>
        <v>51</v>
      </c>
      <c r="N171" s="3">
        <v>12</v>
      </c>
      <c r="P171" s="3">
        <v>1</v>
      </c>
    </row>
    <row r="172" spans="2:16" ht="12" customHeight="1">
      <c r="B172" s="14" t="s">
        <v>93</v>
      </c>
      <c r="C172" s="3">
        <f t="shared" si="14"/>
        <v>567</v>
      </c>
      <c r="D172" s="3">
        <v>198</v>
      </c>
      <c r="E172" s="3">
        <v>369</v>
      </c>
      <c r="G172" s="3">
        <v>2</v>
      </c>
      <c r="H172" s="3">
        <v>32</v>
      </c>
      <c r="I172" s="3">
        <v>19</v>
      </c>
      <c r="J172" s="3">
        <v>14</v>
      </c>
      <c r="L172" s="3">
        <f t="shared" si="15"/>
        <v>462</v>
      </c>
      <c r="N172" s="3">
        <f>34+71</f>
        <v>105</v>
      </c>
      <c r="P172" s="3">
        <v>5</v>
      </c>
    </row>
    <row r="173" spans="2:12" ht="12" customHeight="1">
      <c r="B173" s="14" t="s">
        <v>94</v>
      </c>
      <c r="C173" s="3">
        <f t="shared" si="14"/>
        <v>20</v>
      </c>
      <c r="D173" s="3">
        <v>14</v>
      </c>
      <c r="E173" s="3">
        <v>6</v>
      </c>
      <c r="H173" s="3">
        <v>1</v>
      </c>
      <c r="I173" s="3">
        <v>1</v>
      </c>
      <c r="J173" s="3">
        <v>1</v>
      </c>
      <c r="L173" s="3">
        <f t="shared" si="15"/>
        <v>20</v>
      </c>
    </row>
    <row r="174" spans="2:12" ht="12" customHeight="1">
      <c r="B174" s="14" t="s">
        <v>112</v>
      </c>
      <c r="C174" s="3">
        <f t="shared" si="14"/>
        <v>1</v>
      </c>
      <c r="D174" s="3">
        <v>0</v>
      </c>
      <c r="E174" s="3">
        <v>1</v>
      </c>
      <c r="L174" s="3">
        <f t="shared" si="15"/>
        <v>1</v>
      </c>
    </row>
    <row r="175" spans="2:14" ht="12" customHeight="1">
      <c r="B175" s="14" t="s">
        <v>206</v>
      </c>
      <c r="C175" s="3">
        <f t="shared" si="14"/>
        <v>132</v>
      </c>
      <c r="D175" s="3">
        <v>49</v>
      </c>
      <c r="E175" s="3">
        <v>83</v>
      </c>
      <c r="G175" s="3">
        <v>2</v>
      </c>
      <c r="H175" s="3">
        <v>7</v>
      </c>
      <c r="I175" s="3">
        <v>6</v>
      </c>
      <c r="J175" s="3">
        <v>3</v>
      </c>
      <c r="L175" s="3">
        <f t="shared" si="15"/>
        <v>109</v>
      </c>
      <c r="N175" s="3">
        <f>15+8</f>
        <v>23</v>
      </c>
    </row>
    <row r="176" spans="2:14" ht="12" customHeight="1">
      <c r="B176" s="14" t="s">
        <v>219</v>
      </c>
      <c r="C176" s="3">
        <f t="shared" si="14"/>
        <v>8</v>
      </c>
      <c r="D176" s="3">
        <v>8</v>
      </c>
      <c r="E176" s="3">
        <v>0</v>
      </c>
      <c r="H176" s="3">
        <v>1</v>
      </c>
      <c r="J176" s="3">
        <v>1</v>
      </c>
      <c r="L176" s="3">
        <f t="shared" si="15"/>
        <v>6</v>
      </c>
      <c r="N176" s="3">
        <v>2</v>
      </c>
    </row>
    <row r="177" spans="2:16" ht="12" customHeight="1">
      <c r="B177" s="14" t="s">
        <v>95</v>
      </c>
      <c r="C177" s="3">
        <f t="shared" si="14"/>
        <v>80</v>
      </c>
      <c r="D177" s="3">
        <v>18</v>
      </c>
      <c r="E177" s="3">
        <v>62</v>
      </c>
      <c r="H177" s="3">
        <v>2</v>
      </c>
      <c r="I177" s="3">
        <v>1</v>
      </c>
      <c r="J177" s="3">
        <v>10</v>
      </c>
      <c r="L177" s="3">
        <f t="shared" si="15"/>
        <v>73</v>
      </c>
      <c r="N177" s="3">
        <v>7</v>
      </c>
      <c r="P177" s="3">
        <v>1</v>
      </c>
    </row>
    <row r="178" spans="2:14" ht="12" customHeight="1">
      <c r="B178" s="14" t="s">
        <v>96</v>
      </c>
      <c r="C178" s="3">
        <f t="shared" si="14"/>
        <v>32</v>
      </c>
      <c r="D178" s="3">
        <v>13</v>
      </c>
      <c r="E178" s="3">
        <v>19</v>
      </c>
      <c r="H178" s="3">
        <v>2</v>
      </c>
      <c r="J178" s="3">
        <v>1</v>
      </c>
      <c r="L178" s="3">
        <f t="shared" si="15"/>
        <v>27</v>
      </c>
      <c r="N178" s="3">
        <v>5</v>
      </c>
    </row>
    <row r="179" spans="2:16" ht="12" customHeight="1">
      <c r="B179" s="14" t="s">
        <v>97</v>
      </c>
      <c r="C179" s="3">
        <f t="shared" si="14"/>
        <v>30</v>
      </c>
      <c r="D179" s="3">
        <v>15</v>
      </c>
      <c r="E179" s="3">
        <v>15</v>
      </c>
      <c r="G179" s="3">
        <v>1</v>
      </c>
      <c r="I179" s="3">
        <v>1</v>
      </c>
      <c r="L179" s="3">
        <f t="shared" si="15"/>
        <v>15</v>
      </c>
      <c r="N179" s="3">
        <f>5+10</f>
        <v>15</v>
      </c>
      <c r="P179" s="3">
        <v>8</v>
      </c>
    </row>
    <row r="180" spans="2:14" ht="12" customHeight="1">
      <c r="B180" s="14" t="s">
        <v>114</v>
      </c>
      <c r="C180" s="3">
        <f t="shared" si="14"/>
        <v>15</v>
      </c>
      <c r="D180" s="3">
        <v>12</v>
      </c>
      <c r="E180" s="3">
        <v>3</v>
      </c>
      <c r="L180" s="3">
        <f t="shared" si="15"/>
        <v>13</v>
      </c>
      <c r="N180" s="3">
        <v>2</v>
      </c>
    </row>
    <row r="181" spans="2:14" ht="12" customHeight="1">
      <c r="B181" s="14" t="s">
        <v>98</v>
      </c>
      <c r="C181" s="3">
        <f t="shared" si="14"/>
        <v>6</v>
      </c>
      <c r="D181" s="3">
        <v>0</v>
      </c>
      <c r="E181" s="3">
        <v>6</v>
      </c>
      <c r="L181" s="3">
        <f t="shared" si="15"/>
        <v>5</v>
      </c>
      <c r="N181" s="3">
        <v>1</v>
      </c>
    </row>
    <row r="182" spans="2:14" ht="12" customHeight="1">
      <c r="B182" s="14" t="s">
        <v>207</v>
      </c>
      <c r="C182" s="3">
        <f t="shared" si="14"/>
        <v>6</v>
      </c>
      <c r="D182" s="3">
        <v>2</v>
      </c>
      <c r="E182" s="3">
        <v>4</v>
      </c>
      <c r="L182" s="3">
        <f t="shared" si="15"/>
        <v>4</v>
      </c>
      <c r="N182" s="3">
        <v>2</v>
      </c>
    </row>
    <row r="184" spans="1:16" ht="12.75">
      <c r="A184" s="9" t="s">
        <v>4</v>
      </c>
      <c r="C184" s="3">
        <f>SUM(C132:C183)</f>
        <v>5735</v>
      </c>
      <c r="D184" s="3">
        <f>SUM(D132:D183)</f>
        <v>2847</v>
      </c>
      <c r="E184" s="3">
        <f aca="true" t="shared" si="16" ref="E184:J184">SUM(E132:E182)</f>
        <v>2888</v>
      </c>
      <c r="F184" s="3">
        <f t="shared" si="16"/>
        <v>0</v>
      </c>
      <c r="G184" s="3">
        <f t="shared" si="16"/>
        <v>16</v>
      </c>
      <c r="H184" s="3">
        <f t="shared" si="16"/>
        <v>226</v>
      </c>
      <c r="I184" s="3">
        <f t="shared" si="16"/>
        <v>207</v>
      </c>
      <c r="J184" s="3">
        <f t="shared" si="16"/>
        <v>167</v>
      </c>
      <c r="L184" s="3">
        <f>SUM(L132:L183)</f>
        <v>4492</v>
      </c>
      <c r="N184" s="3">
        <f>SUM(N132:N182)</f>
        <v>1243</v>
      </c>
      <c r="P184" s="3">
        <f>SUM(P132:P182)</f>
        <v>186</v>
      </c>
    </row>
    <row r="187" spans="1:16" ht="12.75">
      <c r="A187" s="2" t="s">
        <v>218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9" spans="8:16" ht="12.75">
      <c r="H189" s="4" t="s">
        <v>1</v>
      </c>
      <c r="N189" s="5" t="s">
        <v>2</v>
      </c>
      <c r="P189" s="5" t="s">
        <v>3</v>
      </c>
    </row>
    <row r="190" spans="3:16" ht="12.75">
      <c r="C190" s="7" t="s">
        <v>4</v>
      </c>
      <c r="D190" s="7" t="s">
        <v>5</v>
      </c>
      <c r="E190" s="7" t="s">
        <v>6</v>
      </c>
      <c r="F190" s="6"/>
      <c r="G190" s="7" t="s">
        <v>7</v>
      </c>
      <c r="H190" s="7" t="s">
        <v>8</v>
      </c>
      <c r="I190" s="7" t="s">
        <v>9</v>
      </c>
      <c r="J190" s="7" t="s">
        <v>10</v>
      </c>
      <c r="K190" s="6"/>
      <c r="L190" s="8" t="s">
        <v>11</v>
      </c>
      <c r="M190" s="6"/>
      <c r="N190" s="8" t="s">
        <v>12</v>
      </c>
      <c r="O190" s="6"/>
      <c r="P190" s="8" t="s">
        <v>13</v>
      </c>
    </row>
    <row r="192" spans="1:16" ht="12.75">
      <c r="A192" s="9" t="s">
        <v>102</v>
      </c>
      <c r="C192" s="3">
        <f aca="true" t="shared" si="17" ref="C192:L192">C40+C61+C80+C102+C123+C184</f>
        <v>21004</v>
      </c>
      <c r="D192" s="3">
        <f t="shared" si="17"/>
        <v>11944</v>
      </c>
      <c r="E192" s="3">
        <f t="shared" si="17"/>
        <v>9060</v>
      </c>
      <c r="F192" s="3">
        <f t="shared" si="17"/>
        <v>0</v>
      </c>
      <c r="G192" s="3">
        <f t="shared" si="17"/>
        <v>67</v>
      </c>
      <c r="H192" s="3">
        <f t="shared" si="17"/>
        <v>597</v>
      </c>
      <c r="I192" s="3">
        <f t="shared" si="17"/>
        <v>678</v>
      </c>
      <c r="J192" s="3">
        <f t="shared" si="17"/>
        <v>543</v>
      </c>
      <c r="K192" s="3">
        <f t="shared" si="17"/>
        <v>0</v>
      </c>
      <c r="L192" s="3">
        <f t="shared" si="17"/>
        <v>15948</v>
      </c>
      <c r="N192" s="3">
        <f>N40+N61+N80+N102+N123+N184</f>
        <v>5056</v>
      </c>
      <c r="P192" s="3">
        <f>P40+P61+P80+P102+P123+P184</f>
        <v>762</v>
      </c>
    </row>
    <row r="199" spans="1:3" ht="12.75">
      <c r="A199" s="9" t="s">
        <v>103</v>
      </c>
      <c r="B199" s="11"/>
      <c r="C199" s="11"/>
    </row>
    <row r="200" spans="2:3" ht="12.75">
      <c r="B200" s="9" t="s">
        <v>104</v>
      </c>
      <c r="C200" s="11"/>
    </row>
    <row r="201" spans="2:3" ht="12.75">
      <c r="B201" s="9" t="s">
        <v>105</v>
      </c>
      <c r="C201" s="11"/>
    </row>
    <row r="202" spans="2:3" ht="12.75">
      <c r="B202" s="9" t="s">
        <v>106</v>
      </c>
      <c r="C202" s="11"/>
    </row>
    <row r="203" spans="2:3" ht="12.75">
      <c r="B203" s="9" t="s">
        <v>107</v>
      </c>
      <c r="C203" s="11"/>
    </row>
    <row r="204" spans="2:3" ht="12.75">
      <c r="B204" s="11"/>
      <c r="C204" s="11"/>
    </row>
    <row r="205" spans="1:3" ht="12.75">
      <c r="A205" s="9" t="s">
        <v>108</v>
      </c>
      <c r="B205" s="11"/>
      <c r="C205" s="11"/>
    </row>
    <row r="207" ht="12.75">
      <c r="A207" s="16"/>
    </row>
    <row r="208" ht="12.75">
      <c r="A208" s="17"/>
    </row>
  </sheetData>
  <mergeCells count="1">
    <mergeCell ref="A3:P3"/>
  </mergeCells>
  <printOptions horizontalCentered="1"/>
  <pageMargins left="0.4" right="0.4" top="0.75" bottom="0.5" header="0.5" footer="0.5"/>
  <pageSetup fitToHeight="0" horizontalDpi="300" verticalDpi="300" orientation="portrait" scale="95" r:id="rId1"/>
  <headerFooter alignWithMargins="0">
    <oddHeader>&amp;R&amp;"Times New Roman,Regular"Page &amp;P</oddHeader>
  </headerFooter>
  <rowBreaks count="4" manualBreakCount="4">
    <brk id="45" max="16" man="1"/>
    <brk id="83" max="16" man="1"/>
    <brk id="127" max="16" man="1"/>
    <brk id="1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47"/>
  <sheetViews>
    <sheetView showGridLines="0" zoomScaleSheetLayoutView="100" workbookViewId="0" topLeftCell="A1">
      <selection activeCell="A1" sqref="A1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7" width="3.7109375" style="3" customWidth="1"/>
    <col min="8" max="9" width="4.28125" style="3" customWidth="1"/>
    <col min="10" max="10" width="4.57421875" style="3" customWidth="1"/>
    <col min="11" max="11" width="1.1484375" style="3" customWidth="1"/>
    <col min="12" max="12" width="5.7109375" style="3" customWidth="1"/>
    <col min="13" max="13" width="2.7109375" style="3" customWidth="1"/>
    <col min="14" max="14" width="5.140625" style="3" customWidth="1"/>
    <col min="15" max="15" width="2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1" t="s">
        <v>162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99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 t="s">
        <v>10</v>
      </c>
      <c r="K6" s="6"/>
      <c r="L6" s="8" t="s">
        <v>11</v>
      </c>
      <c r="M6" s="6"/>
      <c r="N6" s="8" t="s">
        <v>12</v>
      </c>
      <c r="O6" s="6"/>
      <c r="P6" s="8" t="s">
        <v>13</v>
      </c>
    </row>
    <row r="7" spans="2:12" ht="12" customHeight="1">
      <c r="B7" s="9" t="s">
        <v>100</v>
      </c>
      <c r="C7" s="3">
        <f>D7+E7</f>
        <v>0</v>
      </c>
      <c r="L7" s="3">
        <f>(C7-N7)</f>
        <v>0</v>
      </c>
    </row>
    <row r="8" spans="2:16" ht="12" customHeight="1">
      <c r="B8" s="9" t="s">
        <v>101</v>
      </c>
      <c r="C8" s="3">
        <f>D8+E8</f>
        <v>467</v>
      </c>
      <c r="D8" s="3">
        <v>116</v>
      </c>
      <c r="E8" s="3">
        <v>351</v>
      </c>
      <c r="H8" s="3">
        <v>2</v>
      </c>
      <c r="I8" s="3">
        <v>4</v>
      </c>
      <c r="J8" s="3">
        <v>9</v>
      </c>
      <c r="L8" s="3">
        <f>(C8-N8)</f>
        <v>256</v>
      </c>
      <c r="N8" s="3">
        <f>43+168</f>
        <v>211</v>
      </c>
      <c r="P8" s="3">
        <v>1</v>
      </c>
    </row>
    <row r="9" spans="2:14" ht="12" customHeight="1">
      <c r="B9" s="9" t="s">
        <v>220</v>
      </c>
      <c r="C9" s="3">
        <f>D9+E9</f>
        <v>25</v>
      </c>
      <c r="D9" s="3">
        <v>8</v>
      </c>
      <c r="E9" s="3">
        <v>17</v>
      </c>
      <c r="H9" s="3" t="s">
        <v>229</v>
      </c>
      <c r="L9" s="3">
        <f>(C9-N9)</f>
        <v>0</v>
      </c>
      <c r="N9" s="3">
        <v>25</v>
      </c>
    </row>
    <row r="11" spans="1:16" ht="12.75">
      <c r="A11" s="9" t="s">
        <v>4</v>
      </c>
      <c r="C11" s="3">
        <f>SUM(C7:C9)</f>
        <v>492</v>
      </c>
      <c r="D11" s="3">
        <f aca="true" t="shared" si="0" ref="D11:P11">SUM(D7:D9)</f>
        <v>124</v>
      </c>
      <c r="E11" s="3">
        <f t="shared" si="0"/>
        <v>368</v>
      </c>
      <c r="F11" s="3">
        <f t="shared" si="0"/>
        <v>0</v>
      </c>
      <c r="G11" s="3">
        <f t="shared" si="0"/>
        <v>0</v>
      </c>
      <c r="H11" s="3">
        <f t="shared" si="0"/>
        <v>2</v>
      </c>
      <c r="I11" s="3">
        <f t="shared" si="0"/>
        <v>4</v>
      </c>
      <c r="J11" s="3">
        <f t="shared" si="0"/>
        <v>9</v>
      </c>
      <c r="K11" s="3">
        <f t="shared" si="0"/>
        <v>0</v>
      </c>
      <c r="L11" s="3">
        <f t="shared" si="0"/>
        <v>256</v>
      </c>
      <c r="N11" s="3">
        <f t="shared" si="0"/>
        <v>236</v>
      </c>
      <c r="O11" s="3">
        <f t="shared" si="0"/>
        <v>0</v>
      </c>
      <c r="P11" s="3">
        <f t="shared" si="0"/>
        <v>1</v>
      </c>
    </row>
    <row r="21" spans="1:3" ht="12.75">
      <c r="A21" s="9" t="s">
        <v>103</v>
      </c>
      <c r="B21" s="11"/>
      <c r="C21" s="11"/>
    </row>
    <row r="22" spans="2:3" ht="12.75">
      <c r="B22" s="9" t="s">
        <v>104</v>
      </c>
      <c r="C22" s="11"/>
    </row>
    <row r="23" spans="2:3" ht="12.75">
      <c r="B23" s="9" t="s">
        <v>105</v>
      </c>
      <c r="C23" s="11"/>
    </row>
    <row r="24" spans="2:3" ht="12.75">
      <c r="B24" s="9" t="s">
        <v>106</v>
      </c>
      <c r="C24" s="11"/>
    </row>
    <row r="25" spans="2:3" ht="12.75">
      <c r="B25" s="9" t="s">
        <v>107</v>
      </c>
      <c r="C25" s="11"/>
    </row>
    <row r="26" spans="2:3" ht="12.75">
      <c r="B26" s="11"/>
      <c r="C26" s="11"/>
    </row>
    <row r="27" spans="1:3" ht="12.75">
      <c r="A27" s="9" t="s">
        <v>108</v>
      </c>
      <c r="B27" s="11"/>
      <c r="C27" s="11"/>
    </row>
    <row r="46" ht="12.75">
      <c r="A46" s="9"/>
    </row>
    <row r="47" ht="12.75">
      <c r="A47" s="9"/>
    </row>
  </sheetData>
  <printOptions horizontalCentered="1"/>
  <pageMargins left="0.4" right="0.4" top="0.75" bottom="0.5" header="0.5" footer="0.5"/>
  <pageSetup fitToHeight="0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62"/>
  <sheetViews>
    <sheetView showGridLines="0" zoomScale="125" zoomScaleNormal="125" zoomScaleSheetLayoutView="100" workbookViewId="0" topLeftCell="A64">
      <selection activeCell="R1" sqref="R1:R16384"/>
    </sheetView>
  </sheetViews>
  <sheetFormatPr defaultColWidth="9.7109375" defaultRowHeight="12.75"/>
  <cols>
    <col min="1" max="1" width="1.7109375" style="3" customWidth="1"/>
    <col min="2" max="2" width="39.00390625" style="3" customWidth="1"/>
    <col min="3" max="3" width="5.00390625" style="3" customWidth="1"/>
    <col min="4" max="4" width="5.7109375" style="3" customWidth="1"/>
    <col min="5" max="5" width="6.7109375" style="3" customWidth="1"/>
    <col min="6" max="6" width="0.9921875" style="3" customWidth="1"/>
    <col min="7" max="7" width="3.7109375" style="3" customWidth="1"/>
    <col min="8" max="8" width="4.140625" style="3" customWidth="1"/>
    <col min="9" max="10" width="3.7109375" style="3" customWidth="1"/>
    <col min="11" max="11" width="2.7109375" style="3" customWidth="1"/>
    <col min="12" max="12" width="4.7109375" style="3" customWidth="1"/>
    <col min="13" max="13" width="3.7109375" style="3" customWidth="1"/>
    <col min="14" max="14" width="4.7109375" style="3" customWidth="1"/>
    <col min="15" max="15" width="3.7109375" style="3" customWidth="1"/>
    <col min="16" max="16" width="4.7109375" style="3" customWidth="1"/>
    <col min="17" max="17" width="2.28125" style="3" customWidth="1"/>
    <col min="18" max="16384" width="9.7109375" style="3" customWidth="1"/>
  </cols>
  <sheetData>
    <row r="1" spans="1:17" ht="15">
      <c r="A1" s="1" t="s">
        <v>218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>
      <c r="A2" s="1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5" spans="8:16" ht="12.75">
      <c r="H5" s="4" t="s">
        <v>1</v>
      </c>
      <c r="N5" s="5" t="s">
        <v>2</v>
      </c>
      <c r="P5" s="5" t="s">
        <v>3</v>
      </c>
    </row>
    <row r="6" spans="1:16" ht="12.75">
      <c r="A6" s="4" t="s">
        <v>187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 t="s">
        <v>10</v>
      </c>
      <c r="K6" s="6"/>
      <c r="L6" s="8" t="s">
        <v>11</v>
      </c>
      <c r="M6" s="6"/>
      <c r="N6" s="8" t="s">
        <v>12</v>
      </c>
      <c r="O6" s="6"/>
      <c r="P6" s="8" t="s">
        <v>13</v>
      </c>
    </row>
    <row r="7" spans="1:16" ht="12.75">
      <c r="A7" s="9"/>
      <c r="B7" s="3" t="s">
        <v>126</v>
      </c>
      <c r="C7" s="3">
        <f aca="true" t="shared" si="0" ref="C7:C22">D7+E7</f>
        <v>20</v>
      </c>
      <c r="D7" s="12">
        <v>14</v>
      </c>
      <c r="E7" s="12">
        <v>6</v>
      </c>
      <c r="G7" s="12">
        <v>1</v>
      </c>
      <c r="H7" s="12">
        <v>4</v>
      </c>
      <c r="I7" s="12">
        <v>1</v>
      </c>
      <c r="J7" s="12"/>
      <c r="L7" s="3">
        <f aca="true" t="shared" si="1" ref="L7:L22">(C7-N7)</f>
        <v>11</v>
      </c>
      <c r="N7" s="12">
        <v>9</v>
      </c>
      <c r="P7" s="12">
        <v>5</v>
      </c>
    </row>
    <row r="8" spans="2:16" ht="12" customHeight="1">
      <c r="B8" s="9" t="s">
        <v>116</v>
      </c>
      <c r="C8" s="3">
        <f t="shared" si="0"/>
        <v>35</v>
      </c>
      <c r="D8" s="3">
        <v>15</v>
      </c>
      <c r="E8" s="3">
        <v>20</v>
      </c>
      <c r="H8" s="3">
        <v>3</v>
      </c>
      <c r="L8" s="3">
        <f t="shared" si="1"/>
        <v>25</v>
      </c>
      <c r="N8" s="3">
        <v>10</v>
      </c>
      <c r="P8" s="3">
        <v>4</v>
      </c>
    </row>
    <row r="9" spans="2:16" ht="12" customHeight="1">
      <c r="B9" s="9" t="s">
        <v>18</v>
      </c>
      <c r="C9" s="3">
        <f t="shared" si="0"/>
        <v>176</v>
      </c>
      <c r="D9" s="3">
        <v>128</v>
      </c>
      <c r="E9" s="3">
        <v>48</v>
      </c>
      <c r="H9" s="3">
        <v>4</v>
      </c>
      <c r="I9" s="3">
        <v>3</v>
      </c>
      <c r="J9" s="3">
        <v>4</v>
      </c>
      <c r="L9" s="3">
        <f t="shared" si="1"/>
        <v>62</v>
      </c>
      <c r="N9" s="3">
        <f>82+32</f>
        <v>114</v>
      </c>
      <c r="P9" s="3">
        <v>30</v>
      </c>
    </row>
    <row r="10" spans="2:16" ht="12" customHeight="1">
      <c r="B10" s="9" t="s">
        <v>20</v>
      </c>
      <c r="C10" s="3">
        <f t="shared" si="0"/>
        <v>79</v>
      </c>
      <c r="D10" s="3">
        <v>47</v>
      </c>
      <c r="E10" s="3">
        <v>32</v>
      </c>
      <c r="H10" s="3">
        <v>2</v>
      </c>
      <c r="I10" s="3">
        <v>1</v>
      </c>
      <c r="L10" s="3">
        <f t="shared" si="1"/>
        <v>34</v>
      </c>
      <c r="N10" s="3">
        <f>25+20</f>
        <v>45</v>
      </c>
      <c r="P10" s="3">
        <v>19</v>
      </c>
    </row>
    <row r="11" spans="2:16" ht="12" customHeight="1">
      <c r="B11" s="9" t="s">
        <v>117</v>
      </c>
      <c r="C11" s="3">
        <f t="shared" si="0"/>
        <v>49</v>
      </c>
      <c r="D11" s="3">
        <v>30</v>
      </c>
      <c r="E11" s="3">
        <v>19</v>
      </c>
      <c r="H11" s="3">
        <v>1</v>
      </c>
      <c r="L11" s="3">
        <f t="shared" si="1"/>
        <v>13</v>
      </c>
      <c r="N11" s="3">
        <f>22+14</f>
        <v>36</v>
      </c>
      <c r="P11" s="3">
        <f>19+12</f>
        <v>31</v>
      </c>
    </row>
    <row r="12" spans="2:16" ht="12" customHeight="1">
      <c r="B12" s="9" t="s">
        <v>163</v>
      </c>
      <c r="C12" s="3">
        <f t="shared" si="0"/>
        <v>22</v>
      </c>
      <c r="D12" s="3">
        <v>8</v>
      </c>
      <c r="E12" s="3">
        <v>14</v>
      </c>
      <c r="H12" s="3">
        <v>1</v>
      </c>
      <c r="J12" s="3">
        <v>1</v>
      </c>
      <c r="L12" s="3">
        <f t="shared" si="1"/>
        <v>3</v>
      </c>
      <c r="N12" s="3">
        <f>6+13</f>
        <v>19</v>
      </c>
      <c r="P12" s="3">
        <v>3</v>
      </c>
    </row>
    <row r="13" spans="2:16" ht="12" customHeight="1">
      <c r="B13" s="9" t="s">
        <v>118</v>
      </c>
      <c r="C13" s="3">
        <f t="shared" si="0"/>
        <v>46</v>
      </c>
      <c r="D13" s="3">
        <v>33</v>
      </c>
      <c r="E13" s="3">
        <v>13</v>
      </c>
      <c r="I13" s="3">
        <v>1</v>
      </c>
      <c r="L13" s="3">
        <f t="shared" si="1"/>
        <v>3</v>
      </c>
      <c r="N13" s="3">
        <f>30+13</f>
        <v>43</v>
      </c>
      <c r="P13" s="3">
        <f>22+13</f>
        <v>35</v>
      </c>
    </row>
    <row r="14" spans="2:16" ht="12" customHeight="1">
      <c r="B14" s="9" t="s">
        <v>24</v>
      </c>
      <c r="C14" s="3">
        <f t="shared" si="0"/>
        <v>34</v>
      </c>
      <c r="D14" s="3">
        <v>16</v>
      </c>
      <c r="E14" s="3">
        <v>18</v>
      </c>
      <c r="L14" s="3">
        <f t="shared" si="1"/>
        <v>16</v>
      </c>
      <c r="N14" s="3">
        <f>8+10</f>
        <v>18</v>
      </c>
      <c r="P14" s="3">
        <v>6</v>
      </c>
    </row>
    <row r="15" spans="2:16" ht="12" customHeight="1">
      <c r="B15" s="9" t="s">
        <v>209</v>
      </c>
      <c r="C15" s="3">
        <f t="shared" si="0"/>
        <v>23</v>
      </c>
      <c r="D15" s="3">
        <v>11</v>
      </c>
      <c r="E15" s="3">
        <v>12</v>
      </c>
      <c r="H15" s="3">
        <v>1</v>
      </c>
      <c r="L15" s="3">
        <f t="shared" si="1"/>
        <v>8</v>
      </c>
      <c r="N15" s="3">
        <v>15</v>
      </c>
      <c r="P15" s="3">
        <v>8</v>
      </c>
    </row>
    <row r="16" spans="2:16" ht="12" customHeight="1">
      <c r="B16" s="9" t="s">
        <v>164</v>
      </c>
      <c r="C16" s="3">
        <f t="shared" si="0"/>
        <v>35</v>
      </c>
      <c r="D16" s="3">
        <v>18</v>
      </c>
      <c r="E16" s="3">
        <v>17</v>
      </c>
      <c r="I16" s="3">
        <v>1</v>
      </c>
      <c r="L16" s="3">
        <f t="shared" si="1"/>
        <v>6</v>
      </c>
      <c r="N16" s="3">
        <f>16+13</f>
        <v>29</v>
      </c>
      <c r="P16" s="3">
        <f>15+8</f>
        <v>23</v>
      </c>
    </row>
    <row r="17" spans="2:16" ht="12" customHeight="1">
      <c r="B17" s="9" t="s">
        <v>28</v>
      </c>
      <c r="C17" s="3">
        <f t="shared" si="0"/>
        <v>21</v>
      </c>
      <c r="D17" s="3">
        <v>10</v>
      </c>
      <c r="E17" s="3">
        <v>11</v>
      </c>
      <c r="H17" s="3">
        <v>1</v>
      </c>
      <c r="L17" s="3">
        <f t="shared" si="1"/>
        <v>8</v>
      </c>
      <c r="N17" s="3">
        <v>13</v>
      </c>
      <c r="P17" s="3">
        <v>5</v>
      </c>
    </row>
    <row r="18" spans="2:16" ht="12" customHeight="1">
      <c r="B18" s="9" t="s">
        <v>29</v>
      </c>
      <c r="C18" s="3">
        <f t="shared" si="0"/>
        <v>7</v>
      </c>
      <c r="D18" s="3">
        <v>5</v>
      </c>
      <c r="E18" s="3">
        <v>2</v>
      </c>
      <c r="I18" s="3">
        <v>2</v>
      </c>
      <c r="L18" s="3">
        <f t="shared" si="1"/>
        <v>2</v>
      </c>
      <c r="N18" s="3">
        <v>5</v>
      </c>
      <c r="P18" s="3">
        <v>2</v>
      </c>
    </row>
    <row r="19" spans="2:16" ht="12" customHeight="1">
      <c r="B19" s="9" t="s">
        <v>165</v>
      </c>
      <c r="C19" s="3">
        <f t="shared" si="0"/>
        <v>44</v>
      </c>
      <c r="D19" s="3">
        <v>32</v>
      </c>
      <c r="E19" s="3">
        <v>12</v>
      </c>
      <c r="J19" s="3">
        <v>3</v>
      </c>
      <c r="L19" s="3">
        <f t="shared" si="1"/>
        <v>18</v>
      </c>
      <c r="N19" s="3">
        <v>26</v>
      </c>
      <c r="P19" s="3">
        <v>7</v>
      </c>
    </row>
    <row r="20" spans="2:16" ht="12" customHeight="1">
      <c r="B20" s="9" t="s">
        <v>119</v>
      </c>
      <c r="C20" s="3">
        <f t="shared" si="0"/>
        <v>42</v>
      </c>
      <c r="D20" s="3">
        <v>22</v>
      </c>
      <c r="E20" s="3">
        <v>20</v>
      </c>
      <c r="H20" s="3">
        <v>2</v>
      </c>
      <c r="J20" s="3">
        <v>1</v>
      </c>
      <c r="L20" s="3">
        <f t="shared" si="1"/>
        <v>17</v>
      </c>
      <c r="N20" s="3">
        <v>25</v>
      </c>
      <c r="P20" s="3">
        <v>15</v>
      </c>
    </row>
    <row r="21" spans="2:14" ht="12" customHeight="1">
      <c r="B21" s="9" t="s">
        <v>31</v>
      </c>
      <c r="C21" s="3">
        <f t="shared" si="0"/>
        <v>27</v>
      </c>
      <c r="D21" s="3">
        <v>14</v>
      </c>
      <c r="E21" s="3">
        <v>13</v>
      </c>
      <c r="G21" s="3">
        <v>1</v>
      </c>
      <c r="L21" s="3">
        <f t="shared" si="1"/>
        <v>18</v>
      </c>
      <c r="N21" s="3">
        <v>9</v>
      </c>
    </row>
    <row r="22" spans="2:16" ht="12" customHeight="1">
      <c r="B22" s="9" t="s">
        <v>120</v>
      </c>
      <c r="C22" s="3">
        <f t="shared" si="0"/>
        <v>17</v>
      </c>
      <c r="D22" s="3">
        <v>10</v>
      </c>
      <c r="E22" s="3">
        <v>7</v>
      </c>
      <c r="J22" s="3">
        <v>1</v>
      </c>
      <c r="L22" s="3">
        <f t="shared" si="1"/>
        <v>6</v>
      </c>
      <c r="N22" s="3">
        <v>11</v>
      </c>
      <c r="P22" s="3">
        <v>5</v>
      </c>
    </row>
    <row r="24" spans="1:16" ht="12.75">
      <c r="A24" s="9" t="s">
        <v>4</v>
      </c>
      <c r="C24" s="3">
        <f aca="true" t="shared" si="2" ref="C24:J24">SUM(C7:C22)</f>
        <v>677</v>
      </c>
      <c r="D24" s="3">
        <f t="shared" si="2"/>
        <v>413</v>
      </c>
      <c r="E24" s="3">
        <f t="shared" si="2"/>
        <v>264</v>
      </c>
      <c r="F24" s="3">
        <f t="shared" si="2"/>
        <v>0</v>
      </c>
      <c r="G24" s="3">
        <f t="shared" si="2"/>
        <v>2</v>
      </c>
      <c r="H24" s="3">
        <f t="shared" si="2"/>
        <v>19</v>
      </c>
      <c r="I24" s="3">
        <f t="shared" si="2"/>
        <v>9</v>
      </c>
      <c r="J24" s="3">
        <f t="shared" si="2"/>
        <v>10</v>
      </c>
      <c r="L24" s="3">
        <f>SUM(L7:L22)</f>
        <v>250</v>
      </c>
      <c r="N24" s="3">
        <f>SUM(N7:N22)</f>
        <v>427</v>
      </c>
      <c r="P24" s="3">
        <f>SUM(P7:P22)</f>
        <v>198</v>
      </c>
    </row>
    <row r="26" ht="12.75">
      <c r="A26" s="17"/>
    </row>
    <row r="27" spans="8:16" ht="12.75">
      <c r="H27" s="4" t="s">
        <v>1</v>
      </c>
      <c r="N27" s="5" t="s">
        <v>2</v>
      </c>
      <c r="P27" s="5" t="s">
        <v>3</v>
      </c>
    </row>
    <row r="28" spans="1:16" ht="12.75">
      <c r="A28" s="4" t="s">
        <v>33</v>
      </c>
      <c r="C28" s="7" t="s">
        <v>4</v>
      </c>
      <c r="D28" s="7" t="s">
        <v>5</v>
      </c>
      <c r="E28" s="7" t="s">
        <v>6</v>
      </c>
      <c r="F28" s="6"/>
      <c r="G28" s="7" t="s">
        <v>7</v>
      </c>
      <c r="H28" s="7" t="s">
        <v>8</v>
      </c>
      <c r="I28" s="7" t="s">
        <v>9</v>
      </c>
      <c r="J28" s="7" t="s">
        <v>10</v>
      </c>
      <c r="K28" s="6"/>
      <c r="L28" s="8" t="s">
        <v>11</v>
      </c>
      <c r="M28" s="6"/>
      <c r="N28" s="8" t="s">
        <v>12</v>
      </c>
      <c r="O28" s="6"/>
      <c r="P28" s="8" t="s">
        <v>13</v>
      </c>
    </row>
    <row r="29" spans="1:16" ht="12.75">
      <c r="A29" s="4"/>
      <c r="B29" s="3" t="s">
        <v>35</v>
      </c>
      <c r="C29" s="3">
        <f>D29+E29</f>
        <v>56</v>
      </c>
      <c r="D29" s="3">
        <v>20</v>
      </c>
      <c r="E29" s="3">
        <v>36</v>
      </c>
      <c r="H29" s="3">
        <v>1</v>
      </c>
      <c r="L29" s="3">
        <f>(C29-N29)</f>
        <v>24</v>
      </c>
      <c r="N29" s="3">
        <v>32</v>
      </c>
      <c r="P29" s="3">
        <v>28</v>
      </c>
    </row>
    <row r="30" spans="2:16" ht="12" customHeight="1">
      <c r="B30" s="9" t="s">
        <v>121</v>
      </c>
      <c r="C30" s="3">
        <f>D30+E30</f>
        <v>214</v>
      </c>
      <c r="D30" s="3">
        <v>127</v>
      </c>
      <c r="E30" s="3">
        <v>87</v>
      </c>
      <c r="H30" s="3">
        <v>4</v>
      </c>
      <c r="I30" s="3">
        <v>6</v>
      </c>
      <c r="J30" s="3">
        <v>1</v>
      </c>
      <c r="L30" s="3">
        <f>(C30-N30)</f>
        <v>173</v>
      </c>
      <c r="N30" s="3">
        <f>27+14</f>
        <v>41</v>
      </c>
      <c r="P30" s="3">
        <v>30</v>
      </c>
    </row>
    <row r="31" spans="2:16" ht="12" customHeight="1">
      <c r="B31" s="9" t="s">
        <v>154</v>
      </c>
      <c r="C31" s="3">
        <f>D31+E31</f>
        <v>24</v>
      </c>
      <c r="D31" s="3">
        <v>18</v>
      </c>
      <c r="E31" s="3">
        <v>6</v>
      </c>
      <c r="H31" s="3">
        <v>1</v>
      </c>
      <c r="I31" s="3">
        <v>1</v>
      </c>
      <c r="L31" s="3">
        <f>(C31-N31)</f>
        <v>10</v>
      </c>
      <c r="N31" s="3">
        <v>14</v>
      </c>
      <c r="P31" s="3">
        <v>11</v>
      </c>
    </row>
    <row r="33" spans="1:16" ht="12.75">
      <c r="A33" s="9" t="s">
        <v>4</v>
      </c>
      <c r="C33" s="3">
        <f>SUM(C29:C31)</f>
        <v>294</v>
      </c>
      <c r="D33" s="3">
        <f aca="true" t="shared" si="3" ref="D33:P33">SUM(D29:D31)</f>
        <v>165</v>
      </c>
      <c r="E33" s="3">
        <f t="shared" si="3"/>
        <v>129</v>
      </c>
      <c r="F33" s="3">
        <f t="shared" si="3"/>
        <v>0</v>
      </c>
      <c r="G33" s="3">
        <f t="shared" si="3"/>
        <v>0</v>
      </c>
      <c r="H33" s="3">
        <f t="shared" si="3"/>
        <v>6</v>
      </c>
      <c r="I33" s="3">
        <f t="shared" si="3"/>
        <v>7</v>
      </c>
      <c r="J33" s="3">
        <f t="shared" si="3"/>
        <v>1</v>
      </c>
      <c r="L33" s="3">
        <f t="shared" si="3"/>
        <v>207</v>
      </c>
      <c r="N33" s="3">
        <f t="shared" si="3"/>
        <v>87</v>
      </c>
      <c r="P33" s="3">
        <f t="shared" si="3"/>
        <v>69</v>
      </c>
    </row>
    <row r="34" ht="12.75">
      <c r="A34" s="9"/>
    </row>
    <row r="35" ht="12.75">
      <c r="A35" s="9"/>
    </row>
    <row r="37" spans="8:16" ht="12.75">
      <c r="H37" s="4" t="s">
        <v>1</v>
      </c>
      <c r="N37" s="5" t="s">
        <v>2</v>
      </c>
      <c r="P37" s="5" t="s">
        <v>3</v>
      </c>
    </row>
    <row r="38" spans="1:16" ht="12.75">
      <c r="A38" s="4" t="s">
        <v>40</v>
      </c>
      <c r="B38" s="6"/>
      <c r="C38" s="7" t="s">
        <v>4</v>
      </c>
      <c r="D38" s="7" t="s">
        <v>5</v>
      </c>
      <c r="E38" s="7" t="s">
        <v>6</v>
      </c>
      <c r="F38" s="6"/>
      <c r="G38" s="7" t="s">
        <v>7</v>
      </c>
      <c r="H38" s="7" t="s">
        <v>8</v>
      </c>
      <c r="I38" s="7" t="s">
        <v>9</v>
      </c>
      <c r="J38" s="7" t="s">
        <v>10</v>
      </c>
      <c r="K38" s="6"/>
      <c r="L38" s="8" t="s">
        <v>11</v>
      </c>
      <c r="M38" s="6"/>
      <c r="N38" s="8" t="s">
        <v>12</v>
      </c>
      <c r="O38" s="6"/>
      <c r="P38" s="8" t="s">
        <v>13</v>
      </c>
    </row>
    <row r="39" spans="2:16" ht="12" customHeight="1">
      <c r="B39" s="9" t="s">
        <v>122</v>
      </c>
      <c r="C39" s="3">
        <f>D39+E39</f>
        <v>43</v>
      </c>
      <c r="D39" s="3">
        <v>26</v>
      </c>
      <c r="E39" s="3">
        <v>17</v>
      </c>
      <c r="I39" s="3">
        <v>1</v>
      </c>
      <c r="J39" s="3">
        <v>2</v>
      </c>
      <c r="L39" s="3">
        <f>(C39-N39)</f>
        <v>29</v>
      </c>
      <c r="N39" s="3">
        <v>14</v>
      </c>
      <c r="P39" s="3">
        <v>4</v>
      </c>
    </row>
    <row r="40" spans="2:16" ht="12" customHeight="1">
      <c r="B40" s="9" t="s">
        <v>42</v>
      </c>
      <c r="C40" s="3">
        <f>D40+E40</f>
        <v>43</v>
      </c>
      <c r="D40" s="3">
        <v>14</v>
      </c>
      <c r="E40" s="3">
        <v>29</v>
      </c>
      <c r="I40" s="3">
        <v>3</v>
      </c>
      <c r="L40" s="3">
        <f>(C40-N40)</f>
        <v>22</v>
      </c>
      <c r="N40" s="3">
        <v>21</v>
      </c>
      <c r="P40" s="3">
        <v>12</v>
      </c>
    </row>
    <row r="41" spans="2:16" ht="12" customHeight="1">
      <c r="B41" s="9" t="s">
        <v>43</v>
      </c>
      <c r="C41" s="3">
        <f>D41+E41</f>
        <v>31</v>
      </c>
      <c r="D41" s="3">
        <v>17</v>
      </c>
      <c r="E41" s="3">
        <v>14</v>
      </c>
      <c r="H41" s="3">
        <v>3</v>
      </c>
      <c r="I41" s="3">
        <v>1</v>
      </c>
      <c r="J41" s="3">
        <v>1</v>
      </c>
      <c r="L41" s="3">
        <f>(C41-N41)</f>
        <v>11</v>
      </c>
      <c r="N41" s="3">
        <v>20</v>
      </c>
      <c r="P41" s="3">
        <v>12</v>
      </c>
    </row>
    <row r="42" spans="2:14" ht="12" customHeight="1">
      <c r="B42" s="9" t="s">
        <v>46</v>
      </c>
      <c r="C42" s="3">
        <f>D42+E42</f>
        <v>8</v>
      </c>
      <c r="D42" s="3">
        <v>5</v>
      </c>
      <c r="E42" s="3">
        <v>3</v>
      </c>
      <c r="H42" s="3">
        <v>1</v>
      </c>
      <c r="L42" s="3">
        <f>(C42-N42)</f>
        <v>4</v>
      </c>
      <c r="N42" s="3">
        <v>4</v>
      </c>
    </row>
    <row r="44" spans="1:16" ht="12.75">
      <c r="A44" s="9" t="s">
        <v>4</v>
      </c>
      <c r="C44" s="3">
        <f>SUM(C39:C42)</f>
        <v>125</v>
      </c>
      <c r="D44" s="3">
        <f>SUM(D39:D42)</f>
        <v>62</v>
      </c>
      <c r="E44" s="3">
        <f>SUM(E39:E42)</f>
        <v>63</v>
      </c>
      <c r="G44" s="3">
        <f>SUM(G39:G42)</f>
        <v>0</v>
      </c>
      <c r="H44" s="3">
        <f>SUM(H39:H42)</f>
        <v>4</v>
      </c>
      <c r="I44" s="3">
        <f>SUM(I39:I42)</f>
        <v>5</v>
      </c>
      <c r="J44" s="3">
        <f>SUM(J39:J42)</f>
        <v>3</v>
      </c>
      <c r="L44" s="3">
        <f>SUM(L39:L42)</f>
        <v>66</v>
      </c>
      <c r="N44" s="3">
        <f>SUM(N39:N42)</f>
        <v>59</v>
      </c>
      <c r="P44" s="3">
        <f>SUM(P39:P42)</f>
        <v>28</v>
      </c>
    </row>
    <row r="48" spans="1:17" ht="12.75">
      <c r="A48" s="21" t="s">
        <v>218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8:16" ht="12.75">
      <c r="H51" s="4" t="s">
        <v>1</v>
      </c>
      <c r="N51" s="5" t="s">
        <v>2</v>
      </c>
      <c r="P51" s="5" t="s">
        <v>3</v>
      </c>
    </row>
    <row r="52" spans="1:16" ht="12.75">
      <c r="A52" s="4" t="s">
        <v>51</v>
      </c>
      <c r="B52" s="6"/>
      <c r="C52" s="7" t="s">
        <v>4</v>
      </c>
      <c r="D52" s="7" t="s">
        <v>5</v>
      </c>
      <c r="E52" s="7" t="s">
        <v>6</v>
      </c>
      <c r="F52" s="6"/>
      <c r="G52" s="7" t="s">
        <v>7</v>
      </c>
      <c r="H52" s="7" t="s">
        <v>8</v>
      </c>
      <c r="I52" s="7" t="s">
        <v>9</v>
      </c>
      <c r="J52" s="7" t="s">
        <v>10</v>
      </c>
      <c r="K52" s="6"/>
      <c r="L52" s="8" t="s">
        <v>11</v>
      </c>
      <c r="M52" s="6"/>
      <c r="N52" s="8" t="s">
        <v>12</v>
      </c>
      <c r="O52" s="6"/>
      <c r="P52" s="8" t="s">
        <v>13</v>
      </c>
    </row>
    <row r="53" spans="2:16" ht="12" customHeight="1">
      <c r="B53" s="9" t="s">
        <v>52</v>
      </c>
      <c r="C53" s="3">
        <f aca="true" t="shared" si="4" ref="C53:C61">D53+E53</f>
        <v>68</v>
      </c>
      <c r="D53" s="3">
        <v>60</v>
      </c>
      <c r="E53" s="3">
        <v>8</v>
      </c>
      <c r="I53" s="3">
        <v>2</v>
      </c>
      <c r="J53" s="3">
        <v>1</v>
      </c>
      <c r="L53" s="3">
        <f aca="true" t="shared" si="5" ref="L53:L61">(C53-N53)</f>
        <v>17</v>
      </c>
      <c r="N53" s="3">
        <f>45+6</f>
        <v>51</v>
      </c>
      <c r="P53" s="3">
        <v>40</v>
      </c>
    </row>
    <row r="54" spans="2:16" ht="12" customHeight="1">
      <c r="B54" s="9" t="s">
        <v>126</v>
      </c>
      <c r="C54" s="3">
        <f t="shared" si="4"/>
        <v>58</v>
      </c>
      <c r="D54" s="3">
        <v>30</v>
      </c>
      <c r="E54" s="3">
        <v>28</v>
      </c>
      <c r="H54" s="3">
        <v>3</v>
      </c>
      <c r="I54" s="3">
        <v>1</v>
      </c>
      <c r="L54" s="3">
        <f t="shared" si="5"/>
        <v>19</v>
      </c>
      <c r="N54" s="3">
        <f>19+20</f>
        <v>39</v>
      </c>
      <c r="P54" s="3">
        <v>27</v>
      </c>
    </row>
    <row r="55" spans="2:16" ht="12" customHeight="1">
      <c r="B55" s="9" t="s">
        <v>215</v>
      </c>
      <c r="C55" s="3">
        <f t="shared" si="4"/>
        <v>58</v>
      </c>
      <c r="D55" s="3">
        <v>38</v>
      </c>
      <c r="E55" s="3">
        <v>20</v>
      </c>
      <c r="H55" s="3">
        <v>1</v>
      </c>
      <c r="I55" s="3">
        <v>2</v>
      </c>
      <c r="J55" s="3">
        <v>3</v>
      </c>
      <c r="L55" s="3">
        <f t="shared" si="5"/>
        <v>11</v>
      </c>
      <c r="N55" s="3">
        <f>30+17</f>
        <v>47</v>
      </c>
      <c r="P55" s="3">
        <v>26</v>
      </c>
    </row>
    <row r="56" spans="2:16" ht="12" customHeight="1">
      <c r="B56" s="9" t="s">
        <v>210</v>
      </c>
      <c r="C56" s="3">
        <f t="shared" si="4"/>
        <v>115</v>
      </c>
      <c r="D56" s="3">
        <v>95</v>
      </c>
      <c r="E56" s="3">
        <v>20</v>
      </c>
      <c r="G56" s="3">
        <v>1</v>
      </c>
      <c r="I56" s="3">
        <v>1</v>
      </c>
      <c r="L56" s="3">
        <f t="shared" si="5"/>
        <v>34</v>
      </c>
      <c r="N56" s="3">
        <f>66+15</f>
        <v>81</v>
      </c>
      <c r="P56" s="3">
        <f>43+11</f>
        <v>54</v>
      </c>
    </row>
    <row r="57" spans="2:16" ht="12" customHeight="1">
      <c r="B57" s="9" t="s">
        <v>127</v>
      </c>
      <c r="C57" s="3">
        <f t="shared" si="4"/>
        <v>284</v>
      </c>
      <c r="D57" s="3">
        <v>243</v>
      </c>
      <c r="E57" s="3">
        <v>41</v>
      </c>
      <c r="H57" s="3">
        <v>2</v>
      </c>
      <c r="I57" s="3">
        <v>7</v>
      </c>
      <c r="J57" s="3">
        <v>2</v>
      </c>
      <c r="L57" s="3">
        <f t="shared" si="5"/>
        <v>61</v>
      </c>
      <c r="N57" s="3">
        <f>189+34</f>
        <v>223</v>
      </c>
      <c r="P57" s="3">
        <f>156+25</f>
        <v>181</v>
      </c>
    </row>
    <row r="58" spans="2:16" ht="12" customHeight="1">
      <c r="B58" s="9" t="s">
        <v>128</v>
      </c>
      <c r="C58" s="3">
        <f t="shared" si="4"/>
        <v>50</v>
      </c>
      <c r="D58" s="3">
        <v>39</v>
      </c>
      <c r="E58" s="3">
        <v>11</v>
      </c>
      <c r="H58" s="3">
        <v>1</v>
      </c>
      <c r="I58" s="3">
        <v>1</v>
      </c>
      <c r="L58" s="3">
        <f t="shared" si="5"/>
        <v>9</v>
      </c>
      <c r="N58" s="3">
        <v>41</v>
      </c>
      <c r="P58" s="3">
        <v>30</v>
      </c>
    </row>
    <row r="59" spans="2:16" ht="12" customHeight="1">
      <c r="B59" s="9" t="s">
        <v>129</v>
      </c>
      <c r="C59" s="3">
        <f t="shared" si="4"/>
        <v>83</v>
      </c>
      <c r="D59" s="3">
        <v>64</v>
      </c>
      <c r="E59" s="3">
        <v>19</v>
      </c>
      <c r="I59" s="3">
        <v>1</v>
      </c>
      <c r="J59" s="3">
        <v>1</v>
      </c>
      <c r="L59" s="3">
        <f t="shared" si="5"/>
        <v>27</v>
      </c>
      <c r="N59" s="3">
        <v>56</v>
      </c>
      <c r="P59" s="3">
        <f>33+13</f>
        <v>46</v>
      </c>
    </row>
    <row r="60" spans="2:16" ht="12" customHeight="1">
      <c r="B60" s="9" t="s">
        <v>60</v>
      </c>
      <c r="C60" s="3">
        <f t="shared" si="4"/>
        <v>144</v>
      </c>
      <c r="D60" s="3">
        <v>134</v>
      </c>
      <c r="E60" s="3">
        <v>10</v>
      </c>
      <c r="H60" s="3">
        <v>2</v>
      </c>
      <c r="I60" s="3">
        <v>4</v>
      </c>
      <c r="J60" s="3">
        <v>1</v>
      </c>
      <c r="L60" s="3">
        <f t="shared" si="5"/>
        <v>61</v>
      </c>
      <c r="N60" s="3">
        <v>83</v>
      </c>
      <c r="P60" s="3">
        <f>43+6</f>
        <v>49</v>
      </c>
    </row>
    <row r="61" spans="2:16" ht="12" customHeight="1">
      <c r="B61" s="9" t="s">
        <v>130</v>
      </c>
      <c r="C61" s="3">
        <f t="shared" si="4"/>
        <v>87</v>
      </c>
      <c r="D61" s="3">
        <v>73</v>
      </c>
      <c r="E61" s="3">
        <v>14</v>
      </c>
      <c r="H61" s="3">
        <v>8</v>
      </c>
      <c r="I61" s="3">
        <v>6</v>
      </c>
      <c r="J61" s="3">
        <v>2</v>
      </c>
      <c r="L61" s="3">
        <f t="shared" si="5"/>
        <v>62</v>
      </c>
      <c r="N61" s="3">
        <v>25</v>
      </c>
      <c r="P61" s="3">
        <v>4</v>
      </c>
    </row>
    <row r="63" spans="1:16" ht="12.75">
      <c r="A63" s="9" t="s">
        <v>4</v>
      </c>
      <c r="C63" s="3">
        <f>SUM(C53:C61)</f>
        <v>947</v>
      </c>
      <c r="D63" s="3">
        <f>SUM(D53:D61)</f>
        <v>776</v>
      </c>
      <c r="E63" s="3">
        <f>SUM(E53:E61)</f>
        <v>171</v>
      </c>
      <c r="G63" s="3">
        <f>SUM(G53:G61)</f>
        <v>1</v>
      </c>
      <c r="H63" s="3">
        <f>SUM(H53:H61)</f>
        <v>17</v>
      </c>
      <c r="I63" s="3">
        <f>SUM(I53:I61)</f>
        <v>25</v>
      </c>
      <c r="J63" s="3">
        <f>SUM(J53:J61)</f>
        <v>10</v>
      </c>
      <c r="L63" s="3">
        <f>SUM(L53:L61)</f>
        <v>301</v>
      </c>
      <c r="N63" s="3">
        <f>SUM(N53:N61)</f>
        <v>646</v>
      </c>
      <c r="P63" s="3">
        <f>SUM(P53:P61)</f>
        <v>457</v>
      </c>
    </row>
    <row r="67" spans="8:16" ht="12.75">
      <c r="H67" s="4" t="s">
        <v>1</v>
      </c>
      <c r="N67" s="5" t="s">
        <v>2</v>
      </c>
      <c r="P67" s="5" t="s">
        <v>3</v>
      </c>
    </row>
    <row r="68" spans="1:16" ht="12.75">
      <c r="A68" s="4" t="s">
        <v>194</v>
      </c>
      <c r="B68" s="6"/>
      <c r="C68" s="7" t="s">
        <v>4</v>
      </c>
      <c r="D68" s="7" t="s">
        <v>5</v>
      </c>
      <c r="E68" s="7" t="s">
        <v>6</v>
      </c>
      <c r="F68" s="6"/>
      <c r="G68" s="7" t="s">
        <v>7</v>
      </c>
      <c r="H68" s="7" t="s">
        <v>8</v>
      </c>
      <c r="I68" s="7" t="s">
        <v>9</v>
      </c>
      <c r="J68" s="7" t="s">
        <v>10</v>
      </c>
      <c r="K68" s="6"/>
      <c r="L68" s="8" t="s">
        <v>11</v>
      </c>
      <c r="M68" s="6"/>
      <c r="N68" s="8" t="s">
        <v>12</v>
      </c>
      <c r="O68" s="6"/>
      <c r="P68" s="8" t="s">
        <v>13</v>
      </c>
    </row>
    <row r="69" spans="1:16" ht="12.75">
      <c r="A69" s="9"/>
      <c r="B69" s="9" t="s">
        <v>157</v>
      </c>
      <c r="C69" s="3">
        <f>D69+E69</f>
        <v>2</v>
      </c>
      <c r="D69" s="3">
        <v>0</v>
      </c>
      <c r="E69" s="3">
        <v>2</v>
      </c>
      <c r="L69" s="3">
        <f>(C69-N69)</f>
        <v>1</v>
      </c>
      <c r="N69" s="12">
        <v>1</v>
      </c>
      <c r="P69" s="12"/>
    </row>
    <row r="70" spans="1:16" ht="12.75">
      <c r="A70" s="9"/>
      <c r="B70" s="9" t="s">
        <v>123</v>
      </c>
      <c r="C70" s="3">
        <f aca="true" t="shared" si="6" ref="C70:C76">D70+E70</f>
        <v>134</v>
      </c>
      <c r="D70" s="3">
        <v>41</v>
      </c>
      <c r="E70" s="3">
        <v>93</v>
      </c>
      <c r="G70" s="3">
        <v>1</v>
      </c>
      <c r="H70" s="3">
        <v>3</v>
      </c>
      <c r="I70" s="3">
        <v>4</v>
      </c>
      <c r="J70" s="3">
        <v>3</v>
      </c>
      <c r="L70" s="3">
        <f aca="true" t="shared" si="7" ref="L70:L76">(C70-N70)</f>
        <v>96</v>
      </c>
      <c r="N70" s="12">
        <f>9+29</f>
        <v>38</v>
      </c>
      <c r="P70" s="12">
        <v>20</v>
      </c>
    </row>
    <row r="71" spans="1:16" ht="12.75">
      <c r="A71" s="9"/>
      <c r="B71" s="9" t="s">
        <v>124</v>
      </c>
      <c r="C71" s="3">
        <f t="shared" si="6"/>
        <v>264</v>
      </c>
      <c r="D71" s="3">
        <v>105</v>
      </c>
      <c r="E71" s="3">
        <v>159</v>
      </c>
      <c r="G71" s="3">
        <v>4</v>
      </c>
      <c r="H71" s="3">
        <f>8+18</f>
        <v>26</v>
      </c>
      <c r="I71" s="3">
        <v>3</v>
      </c>
      <c r="J71" s="3">
        <v>10</v>
      </c>
      <c r="L71" s="3">
        <f t="shared" si="7"/>
        <v>211</v>
      </c>
      <c r="N71" s="12">
        <f>21+32</f>
        <v>53</v>
      </c>
      <c r="P71" s="12">
        <v>3</v>
      </c>
    </row>
    <row r="72" spans="1:16" ht="12.75">
      <c r="A72" s="9"/>
      <c r="B72" s="9" t="s">
        <v>61</v>
      </c>
      <c r="C72" s="3">
        <f t="shared" si="6"/>
        <v>29</v>
      </c>
      <c r="D72" s="3">
        <v>7</v>
      </c>
      <c r="E72" s="3">
        <v>22</v>
      </c>
      <c r="H72" s="3">
        <v>2</v>
      </c>
      <c r="L72" s="3">
        <f t="shared" si="7"/>
        <v>17</v>
      </c>
      <c r="N72" s="12">
        <f>3+9</f>
        <v>12</v>
      </c>
      <c r="P72" s="12"/>
    </row>
    <row r="73" spans="1:16" ht="12.75">
      <c r="A73" s="9"/>
      <c r="B73" s="9" t="s">
        <v>158</v>
      </c>
      <c r="C73" s="3">
        <f t="shared" si="6"/>
        <v>39</v>
      </c>
      <c r="D73" s="3">
        <v>4</v>
      </c>
      <c r="E73" s="3">
        <v>35</v>
      </c>
      <c r="H73" s="3">
        <v>5</v>
      </c>
      <c r="L73" s="3">
        <f t="shared" si="7"/>
        <v>9</v>
      </c>
      <c r="N73" s="12">
        <f>4+26</f>
        <v>30</v>
      </c>
      <c r="P73" s="12">
        <v>2</v>
      </c>
    </row>
    <row r="74" spans="1:16" ht="12.75">
      <c r="A74" s="9"/>
      <c r="B74" s="9" t="s">
        <v>131</v>
      </c>
      <c r="C74" s="3">
        <f t="shared" si="6"/>
        <v>28</v>
      </c>
      <c r="D74" s="3">
        <v>7</v>
      </c>
      <c r="E74" s="3">
        <v>21</v>
      </c>
      <c r="L74" s="3">
        <f t="shared" si="7"/>
        <v>11</v>
      </c>
      <c r="N74" s="12">
        <v>17</v>
      </c>
      <c r="P74" s="12">
        <v>11</v>
      </c>
    </row>
    <row r="75" spans="1:16" ht="12.75">
      <c r="A75" s="9"/>
      <c r="B75" s="9" t="s">
        <v>169</v>
      </c>
      <c r="C75" s="3">
        <f t="shared" si="6"/>
        <v>24</v>
      </c>
      <c r="D75" s="3">
        <v>4</v>
      </c>
      <c r="E75" s="3">
        <v>20</v>
      </c>
      <c r="H75" s="3">
        <v>1</v>
      </c>
      <c r="L75" s="3">
        <f t="shared" si="7"/>
        <v>3</v>
      </c>
      <c r="N75" s="12">
        <f>2+19</f>
        <v>21</v>
      </c>
      <c r="P75" s="12">
        <v>12</v>
      </c>
    </row>
    <row r="76" spans="2:16" ht="12" customHeight="1">
      <c r="B76" s="9" t="s">
        <v>63</v>
      </c>
      <c r="C76" s="3">
        <f t="shared" si="6"/>
        <v>72</v>
      </c>
      <c r="D76" s="3">
        <v>10</v>
      </c>
      <c r="E76" s="3">
        <v>62</v>
      </c>
      <c r="I76" s="3">
        <v>2</v>
      </c>
      <c r="J76" s="3">
        <v>2</v>
      </c>
      <c r="L76" s="3">
        <f t="shared" si="7"/>
        <v>49</v>
      </c>
      <c r="N76" s="3">
        <v>23</v>
      </c>
      <c r="P76" s="3">
        <v>10</v>
      </c>
    </row>
    <row r="77" spans="2:16" ht="12" customHeight="1">
      <c r="B77" s="3" t="s">
        <v>228</v>
      </c>
      <c r="C77" s="3">
        <f>D77+E77</f>
        <v>38</v>
      </c>
      <c r="D77" s="3">
        <v>20</v>
      </c>
      <c r="E77" s="3">
        <v>18</v>
      </c>
      <c r="H77" s="3">
        <v>3</v>
      </c>
      <c r="L77" s="3">
        <f>(C77-N77)</f>
        <v>19</v>
      </c>
      <c r="N77" s="3">
        <v>19</v>
      </c>
      <c r="P77" s="3">
        <v>7</v>
      </c>
    </row>
    <row r="78" spans="2:16" ht="12" customHeight="1">
      <c r="B78" s="9" t="s">
        <v>159</v>
      </c>
      <c r="C78" s="3">
        <f>D78+E78</f>
        <v>27</v>
      </c>
      <c r="D78" s="3">
        <v>4</v>
      </c>
      <c r="E78" s="3">
        <v>23</v>
      </c>
      <c r="G78" s="3">
        <v>1</v>
      </c>
      <c r="L78" s="3">
        <f>(C78-N78)</f>
        <v>5</v>
      </c>
      <c r="N78" s="3">
        <v>22</v>
      </c>
      <c r="P78" s="3">
        <v>17</v>
      </c>
    </row>
    <row r="80" spans="1:16" ht="12.75">
      <c r="A80" s="9" t="s">
        <v>4</v>
      </c>
      <c r="C80" s="3">
        <f>SUM(C69:C78)</f>
        <v>657</v>
      </c>
      <c r="D80" s="3">
        <f>SUM(D69:D78)</f>
        <v>202</v>
      </c>
      <c r="E80" s="3">
        <f>SUM(E69:E78)</f>
        <v>455</v>
      </c>
      <c r="G80" s="3">
        <f>SUM(G69:G78)</f>
        <v>6</v>
      </c>
      <c r="H80" s="3">
        <f>SUM(H69:H78)</f>
        <v>40</v>
      </c>
      <c r="I80" s="3">
        <f>SUM(I69:I78)</f>
        <v>9</v>
      </c>
      <c r="J80" s="3">
        <f>SUM(J69:J78)</f>
        <v>15</v>
      </c>
      <c r="L80" s="3">
        <f>SUM(L69:L78)</f>
        <v>421</v>
      </c>
      <c r="N80" s="3">
        <f>SUM(N69:N78)</f>
        <v>236</v>
      </c>
      <c r="P80" s="3">
        <f>SUM(P69:P78)</f>
        <v>82</v>
      </c>
    </row>
    <row r="82" ht="12.75">
      <c r="A82" s="18" t="s">
        <v>160</v>
      </c>
    </row>
    <row r="83" ht="12.75">
      <c r="A83" s="19"/>
    </row>
    <row r="84" spans="8:16" ht="12.75">
      <c r="H84" s="4" t="s">
        <v>1</v>
      </c>
      <c r="N84" s="5" t="s">
        <v>2</v>
      </c>
      <c r="P84" s="5" t="s">
        <v>3</v>
      </c>
    </row>
    <row r="85" spans="1:16" ht="12.75">
      <c r="A85" s="4" t="s">
        <v>64</v>
      </c>
      <c r="B85" s="6"/>
      <c r="C85" s="7" t="s">
        <v>4</v>
      </c>
      <c r="D85" s="7" t="s">
        <v>5</v>
      </c>
      <c r="E85" s="7" t="s">
        <v>6</v>
      </c>
      <c r="F85" s="6"/>
      <c r="G85" s="7" t="s">
        <v>7</v>
      </c>
      <c r="H85" s="7" t="s">
        <v>8</v>
      </c>
      <c r="I85" s="7" t="s">
        <v>9</v>
      </c>
      <c r="J85" s="7" t="s">
        <v>10</v>
      </c>
      <c r="K85" s="6"/>
      <c r="L85" s="8" t="s">
        <v>11</v>
      </c>
      <c r="M85" s="6"/>
      <c r="N85" s="8" t="s">
        <v>12</v>
      </c>
      <c r="O85" s="6"/>
      <c r="P85" s="8" t="s">
        <v>13</v>
      </c>
    </row>
    <row r="86" spans="2:16" ht="12" customHeight="1">
      <c r="B86" s="9" t="s">
        <v>66</v>
      </c>
      <c r="C86" s="3">
        <f aca="true" t="shared" si="8" ref="C86:C102">D86+E86</f>
        <v>24</v>
      </c>
      <c r="D86" s="3">
        <v>3</v>
      </c>
      <c r="E86" s="3">
        <v>21</v>
      </c>
      <c r="H86" s="3">
        <v>2</v>
      </c>
      <c r="I86" s="3">
        <v>1</v>
      </c>
      <c r="J86" s="3">
        <v>1</v>
      </c>
      <c r="L86" s="3">
        <f>(C86-N86)</f>
        <v>10</v>
      </c>
      <c r="N86" s="3">
        <v>14</v>
      </c>
      <c r="P86" s="3">
        <v>2</v>
      </c>
    </row>
    <row r="87" spans="2:16" ht="12" customHeight="1">
      <c r="B87" s="9" t="s">
        <v>132</v>
      </c>
      <c r="C87" s="3">
        <f t="shared" si="8"/>
        <v>47</v>
      </c>
      <c r="D87" s="3">
        <v>27</v>
      </c>
      <c r="E87" s="3">
        <v>20</v>
      </c>
      <c r="L87" s="3">
        <f aca="true" t="shared" si="9" ref="L87:L102">(C87-N87)</f>
        <v>10</v>
      </c>
      <c r="N87" s="3">
        <f>21+16</f>
        <v>37</v>
      </c>
      <c r="P87" s="3">
        <v>30</v>
      </c>
    </row>
    <row r="88" spans="2:16" ht="12" customHeight="1">
      <c r="B88" s="9" t="s">
        <v>69</v>
      </c>
      <c r="C88" s="3">
        <f t="shared" si="8"/>
        <v>187</v>
      </c>
      <c r="D88" s="3">
        <v>123</v>
      </c>
      <c r="E88" s="3">
        <v>64</v>
      </c>
      <c r="H88" s="3">
        <v>2</v>
      </c>
      <c r="I88" s="3">
        <v>4</v>
      </c>
      <c r="L88" s="3">
        <f t="shared" si="9"/>
        <v>34</v>
      </c>
      <c r="N88" s="3">
        <f>99+54</f>
        <v>153</v>
      </c>
      <c r="P88" s="3">
        <f>51+33</f>
        <v>84</v>
      </c>
    </row>
    <row r="89" spans="2:16" ht="12" customHeight="1">
      <c r="B89" s="9" t="s">
        <v>70</v>
      </c>
      <c r="C89" s="3">
        <f t="shared" si="8"/>
        <v>149</v>
      </c>
      <c r="D89" s="3">
        <v>122</v>
      </c>
      <c r="E89" s="3">
        <v>27</v>
      </c>
      <c r="H89" s="3">
        <v>1</v>
      </c>
      <c r="I89" s="3">
        <v>2</v>
      </c>
      <c r="J89" s="3">
        <v>1</v>
      </c>
      <c r="L89" s="3">
        <f t="shared" si="9"/>
        <v>20</v>
      </c>
      <c r="N89" s="3">
        <f>109+20</f>
        <v>129</v>
      </c>
      <c r="P89" s="3">
        <f>95+20</f>
        <v>115</v>
      </c>
    </row>
    <row r="90" spans="2:16" ht="12" customHeight="1">
      <c r="B90" s="9" t="s">
        <v>163</v>
      </c>
      <c r="C90" s="3">
        <f t="shared" si="8"/>
        <v>29</v>
      </c>
      <c r="D90" s="3">
        <v>15</v>
      </c>
      <c r="E90" s="3">
        <v>14</v>
      </c>
      <c r="G90" s="3">
        <v>1</v>
      </c>
      <c r="J90" s="3">
        <v>1</v>
      </c>
      <c r="L90" s="3">
        <f t="shared" si="9"/>
        <v>8</v>
      </c>
      <c r="N90" s="3">
        <f>11+10</f>
        <v>21</v>
      </c>
      <c r="P90" s="3">
        <v>6</v>
      </c>
    </row>
    <row r="91" spans="2:16" ht="12" customHeight="1">
      <c r="B91" s="9" t="s">
        <v>133</v>
      </c>
      <c r="C91" s="3">
        <f t="shared" si="8"/>
        <v>57</v>
      </c>
      <c r="D91" s="3">
        <v>30</v>
      </c>
      <c r="E91" s="3">
        <v>27</v>
      </c>
      <c r="L91" s="3">
        <f t="shared" si="9"/>
        <v>7</v>
      </c>
      <c r="N91" s="3">
        <f>25+25</f>
        <v>50</v>
      </c>
      <c r="P91" s="3">
        <f>22+23</f>
        <v>45</v>
      </c>
    </row>
    <row r="92" spans="2:16" ht="12" customHeight="1">
      <c r="B92" s="9" t="s">
        <v>72</v>
      </c>
      <c r="C92" s="3">
        <f t="shared" si="8"/>
        <v>117</v>
      </c>
      <c r="D92" s="3">
        <v>43</v>
      </c>
      <c r="E92" s="3">
        <v>74</v>
      </c>
      <c r="H92" s="3">
        <v>1</v>
      </c>
      <c r="J92" s="3">
        <v>3</v>
      </c>
      <c r="L92" s="3">
        <f t="shared" si="9"/>
        <v>62</v>
      </c>
      <c r="N92" s="3">
        <f>24+31</f>
        <v>55</v>
      </c>
      <c r="P92" s="3">
        <f>9+15</f>
        <v>24</v>
      </c>
    </row>
    <row r="93" spans="2:16" ht="12" customHeight="1">
      <c r="B93" s="9" t="s">
        <v>166</v>
      </c>
      <c r="C93" s="3">
        <f t="shared" si="8"/>
        <v>40</v>
      </c>
      <c r="D93" s="3">
        <v>25</v>
      </c>
      <c r="E93" s="3">
        <v>15</v>
      </c>
      <c r="L93" s="3">
        <f t="shared" si="9"/>
        <v>12</v>
      </c>
      <c r="N93" s="3">
        <f>17+11</f>
        <v>28</v>
      </c>
      <c r="P93" s="3">
        <v>22</v>
      </c>
    </row>
    <row r="94" spans="2:16" ht="12" customHeight="1">
      <c r="B94" s="9" t="s">
        <v>134</v>
      </c>
      <c r="C94" s="3">
        <f t="shared" si="8"/>
        <v>41</v>
      </c>
      <c r="D94" s="3">
        <v>30</v>
      </c>
      <c r="E94" s="3">
        <v>11</v>
      </c>
      <c r="H94" s="3">
        <v>1</v>
      </c>
      <c r="L94" s="3">
        <f t="shared" si="9"/>
        <v>14</v>
      </c>
      <c r="N94" s="3">
        <f>17+10</f>
        <v>27</v>
      </c>
      <c r="P94" s="3">
        <f>7+5</f>
        <v>12</v>
      </c>
    </row>
    <row r="95" spans="2:16" ht="12" customHeight="1">
      <c r="B95" s="9" t="s">
        <v>77</v>
      </c>
      <c r="C95" s="3">
        <f t="shared" si="8"/>
        <v>43</v>
      </c>
      <c r="D95" s="3">
        <v>28</v>
      </c>
      <c r="E95" s="3">
        <v>15</v>
      </c>
      <c r="H95" s="3">
        <v>1</v>
      </c>
      <c r="J95" s="3">
        <v>1</v>
      </c>
      <c r="L95" s="3">
        <f t="shared" si="9"/>
        <v>32</v>
      </c>
      <c r="N95" s="3">
        <v>11</v>
      </c>
      <c r="P95" s="3">
        <v>3</v>
      </c>
    </row>
    <row r="96" spans="2:16" ht="12" customHeight="1">
      <c r="B96" s="9" t="s">
        <v>79</v>
      </c>
      <c r="C96" s="3">
        <f t="shared" si="8"/>
        <v>37</v>
      </c>
      <c r="D96" s="3">
        <v>9</v>
      </c>
      <c r="E96" s="3">
        <v>28</v>
      </c>
      <c r="H96" s="3">
        <v>1</v>
      </c>
      <c r="J96" s="3">
        <v>2</v>
      </c>
      <c r="L96" s="3">
        <f t="shared" si="9"/>
        <v>13</v>
      </c>
      <c r="N96" s="3">
        <f>8+16</f>
        <v>24</v>
      </c>
      <c r="P96" s="3">
        <v>18</v>
      </c>
    </row>
    <row r="97" spans="2:16" ht="12" customHeight="1">
      <c r="B97" s="9" t="s">
        <v>82</v>
      </c>
      <c r="C97" s="3">
        <f t="shared" si="8"/>
        <v>72</v>
      </c>
      <c r="D97" s="3">
        <v>51</v>
      </c>
      <c r="E97" s="3">
        <v>21</v>
      </c>
      <c r="H97" s="3">
        <v>1</v>
      </c>
      <c r="I97" s="3">
        <v>1</v>
      </c>
      <c r="L97" s="3">
        <f t="shared" si="9"/>
        <v>18</v>
      </c>
      <c r="N97" s="3">
        <f>37+17</f>
        <v>54</v>
      </c>
      <c r="P97" s="3">
        <f>21+12</f>
        <v>33</v>
      </c>
    </row>
    <row r="98" spans="2:16" ht="12" customHeight="1">
      <c r="B98" s="9" t="s">
        <v>135</v>
      </c>
      <c r="C98" s="3">
        <f t="shared" si="8"/>
        <v>101</v>
      </c>
      <c r="D98" s="3">
        <v>79</v>
      </c>
      <c r="E98" s="3">
        <v>22</v>
      </c>
      <c r="I98" s="3">
        <v>2</v>
      </c>
      <c r="L98" s="3">
        <f t="shared" si="9"/>
        <v>15</v>
      </c>
      <c r="N98" s="3">
        <f>65+21</f>
        <v>86</v>
      </c>
      <c r="P98" s="3">
        <f>42+15</f>
        <v>57</v>
      </c>
    </row>
    <row r="99" spans="2:16" ht="12" customHeight="1">
      <c r="B99" s="9" t="s">
        <v>89</v>
      </c>
      <c r="C99" s="3">
        <f t="shared" si="8"/>
        <v>59</v>
      </c>
      <c r="D99" s="3">
        <v>37</v>
      </c>
      <c r="E99" s="3">
        <v>22</v>
      </c>
      <c r="H99" s="3">
        <v>2</v>
      </c>
      <c r="I99" s="3">
        <v>1</v>
      </c>
      <c r="L99" s="3">
        <f t="shared" si="9"/>
        <v>48</v>
      </c>
      <c r="N99" s="3">
        <v>11</v>
      </c>
      <c r="P99" s="3">
        <v>4</v>
      </c>
    </row>
    <row r="100" spans="2:16" ht="12" customHeight="1">
      <c r="B100" s="9" t="s">
        <v>93</v>
      </c>
      <c r="C100" s="3">
        <f t="shared" si="8"/>
        <v>63</v>
      </c>
      <c r="D100" s="3">
        <v>22</v>
      </c>
      <c r="E100" s="3">
        <v>41</v>
      </c>
      <c r="H100" s="3">
        <v>2</v>
      </c>
      <c r="I100" s="3">
        <v>1</v>
      </c>
      <c r="L100" s="3">
        <f t="shared" si="9"/>
        <v>19</v>
      </c>
      <c r="N100" s="3">
        <f>15+29</f>
        <v>44</v>
      </c>
      <c r="P100" s="3">
        <v>8</v>
      </c>
    </row>
    <row r="101" spans="2:16" ht="12" customHeight="1">
      <c r="B101" s="9" t="s">
        <v>136</v>
      </c>
      <c r="C101" s="3">
        <f t="shared" si="8"/>
        <v>33</v>
      </c>
      <c r="D101" s="3">
        <v>15</v>
      </c>
      <c r="E101" s="3">
        <v>18</v>
      </c>
      <c r="G101" s="3">
        <v>2</v>
      </c>
      <c r="H101" s="3">
        <v>1</v>
      </c>
      <c r="J101" s="3">
        <v>1</v>
      </c>
      <c r="L101" s="3">
        <f t="shared" si="9"/>
        <v>15</v>
      </c>
      <c r="N101" s="3">
        <f>11+7</f>
        <v>18</v>
      </c>
      <c r="P101" s="3">
        <v>7</v>
      </c>
    </row>
    <row r="102" spans="2:16" ht="12" customHeight="1">
      <c r="B102" s="9" t="s">
        <v>97</v>
      </c>
      <c r="C102" s="3">
        <f t="shared" si="8"/>
        <v>115</v>
      </c>
      <c r="D102" s="3">
        <v>66</v>
      </c>
      <c r="E102" s="3">
        <v>49</v>
      </c>
      <c r="H102" s="3">
        <v>9</v>
      </c>
      <c r="I102" s="3">
        <v>3</v>
      </c>
      <c r="L102" s="3">
        <f t="shared" si="9"/>
        <v>11</v>
      </c>
      <c r="N102" s="3">
        <f>59+45</f>
        <v>104</v>
      </c>
      <c r="P102" s="3">
        <f>24+26</f>
        <v>50</v>
      </c>
    </row>
    <row r="104" spans="1:16" ht="12.75">
      <c r="A104" s="9" t="s">
        <v>4</v>
      </c>
      <c r="C104" s="3">
        <f>SUM(C86:C102)</f>
        <v>1214</v>
      </c>
      <c r="D104" s="3">
        <f>SUM(D86:D102)</f>
        <v>725</v>
      </c>
      <c r="E104" s="3">
        <f>SUM(E86:E102)</f>
        <v>489</v>
      </c>
      <c r="G104" s="3">
        <f>SUM(G86:G102)</f>
        <v>3</v>
      </c>
      <c r="H104" s="3">
        <f>SUM(H86:H102)</f>
        <v>24</v>
      </c>
      <c r="I104" s="3">
        <f>SUM(I86:I102)</f>
        <v>15</v>
      </c>
      <c r="J104" s="3">
        <f>SUM(J86:J102)</f>
        <v>10</v>
      </c>
      <c r="L104" s="3">
        <f>SUM(L86:L102)</f>
        <v>348</v>
      </c>
      <c r="N104" s="3">
        <f>SUM(N86:N102)</f>
        <v>866</v>
      </c>
      <c r="P104" s="3">
        <f>SUM(P86:P102)</f>
        <v>520</v>
      </c>
    </row>
    <row r="105" spans="1:17" ht="12.75">
      <c r="A105" s="21" t="s">
        <v>218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8" spans="8:16" ht="12.75">
      <c r="H108" s="4" t="s">
        <v>1</v>
      </c>
      <c r="N108" s="5" t="s">
        <v>2</v>
      </c>
      <c r="P108" s="5" t="s">
        <v>3</v>
      </c>
    </row>
    <row r="109" spans="1:16" ht="12.75">
      <c r="A109" s="4" t="s">
        <v>99</v>
      </c>
      <c r="B109" s="6"/>
      <c r="C109" s="7" t="s">
        <v>4</v>
      </c>
      <c r="D109" s="7" t="s">
        <v>5</v>
      </c>
      <c r="E109" s="7" t="s">
        <v>6</v>
      </c>
      <c r="F109" s="6"/>
      <c r="G109" s="7" t="s">
        <v>7</v>
      </c>
      <c r="H109" s="7" t="s">
        <v>8</v>
      </c>
      <c r="I109" s="7" t="s">
        <v>9</v>
      </c>
      <c r="J109" s="7" t="s">
        <v>10</v>
      </c>
      <c r="K109" s="6"/>
      <c r="L109" s="8" t="s">
        <v>11</v>
      </c>
      <c r="M109" s="6"/>
      <c r="N109" s="8" t="s">
        <v>12</v>
      </c>
      <c r="O109" s="6"/>
      <c r="P109" s="8" t="s">
        <v>13</v>
      </c>
    </row>
    <row r="110" spans="2:16" ht="12" customHeight="1">
      <c r="B110" s="9" t="s">
        <v>137</v>
      </c>
      <c r="C110" s="3">
        <f>D110+E110</f>
        <v>27</v>
      </c>
      <c r="D110" s="3">
        <v>16</v>
      </c>
      <c r="E110" s="3">
        <v>11</v>
      </c>
      <c r="I110" s="3">
        <v>2</v>
      </c>
      <c r="L110" s="3">
        <f>(C110-N110)</f>
        <v>6</v>
      </c>
      <c r="N110" s="3">
        <v>21</v>
      </c>
      <c r="P110" s="3">
        <v>18</v>
      </c>
    </row>
    <row r="111" spans="2:12" ht="12" customHeight="1">
      <c r="B111" s="9" t="s">
        <v>138</v>
      </c>
      <c r="C111" s="3">
        <f>D111+E111</f>
        <v>3</v>
      </c>
      <c r="D111" s="3">
        <v>1</v>
      </c>
      <c r="E111" s="3">
        <v>2</v>
      </c>
      <c r="L111" s="3">
        <f>(C111-N111)</f>
        <v>3</v>
      </c>
    </row>
    <row r="112" spans="2:16" ht="12" customHeight="1">
      <c r="B112" s="9" t="s">
        <v>139</v>
      </c>
      <c r="C112" s="3">
        <f>D112+E112</f>
        <v>10</v>
      </c>
      <c r="D112" s="3">
        <v>8</v>
      </c>
      <c r="E112" s="3">
        <v>2</v>
      </c>
      <c r="I112" s="3">
        <v>1</v>
      </c>
      <c r="L112" s="3">
        <f>(C112-N112)</f>
        <v>7</v>
      </c>
      <c r="N112" s="3">
        <v>3</v>
      </c>
      <c r="P112" s="3">
        <v>3</v>
      </c>
    </row>
    <row r="113" spans="2:16" ht="12" customHeight="1">
      <c r="B113" s="9" t="s">
        <v>140</v>
      </c>
      <c r="C113" s="3">
        <f>D113+E113</f>
        <v>45</v>
      </c>
      <c r="D113" s="3">
        <v>21</v>
      </c>
      <c r="E113" s="3">
        <v>24</v>
      </c>
      <c r="I113" s="3">
        <v>1</v>
      </c>
      <c r="J113" s="3">
        <v>3</v>
      </c>
      <c r="L113" s="3">
        <f>(C113-N113)</f>
        <v>26</v>
      </c>
      <c r="N113" s="3">
        <v>19</v>
      </c>
      <c r="P113" s="3">
        <v>11</v>
      </c>
    </row>
    <row r="114" spans="2:16" ht="12" customHeight="1">
      <c r="B114" s="9" t="s">
        <v>141</v>
      </c>
      <c r="C114" s="3">
        <f>D114+E114</f>
        <v>16</v>
      </c>
      <c r="D114" s="3">
        <v>7</v>
      </c>
      <c r="E114" s="3">
        <v>9</v>
      </c>
      <c r="J114" s="3">
        <v>2</v>
      </c>
      <c r="L114" s="3">
        <f>(C114-N114)</f>
        <v>11</v>
      </c>
      <c r="N114" s="3">
        <v>5</v>
      </c>
      <c r="P114" s="3">
        <v>2</v>
      </c>
    </row>
    <row r="116" spans="1:16" ht="12.75">
      <c r="A116" s="9" t="s">
        <v>4</v>
      </c>
      <c r="C116" s="3">
        <f>SUM(C110:C114)</f>
        <v>101</v>
      </c>
      <c r="D116" s="3">
        <f>SUM(D110:D114)</f>
        <v>53</v>
      </c>
      <c r="E116" s="3">
        <f>SUM(E110:E114)</f>
        <v>48</v>
      </c>
      <c r="G116" s="3">
        <f>SUM(G110:G114)</f>
        <v>0</v>
      </c>
      <c r="H116" s="3">
        <f>SUM(H110:H114)</f>
        <v>0</v>
      </c>
      <c r="I116" s="3">
        <f>SUM(I110:I114)</f>
        <v>4</v>
      </c>
      <c r="J116" s="3">
        <f>SUM(J110:J114)</f>
        <v>5</v>
      </c>
      <c r="L116" s="3">
        <f>SUM(L110:L114)</f>
        <v>53</v>
      </c>
      <c r="N116" s="3">
        <f>SUM(N110:N114)</f>
        <v>48</v>
      </c>
      <c r="P116" s="3">
        <f>SUM(P110:P114)</f>
        <v>34</v>
      </c>
    </row>
    <row r="120" spans="1:16" ht="12.75">
      <c r="A120" s="9" t="s">
        <v>142</v>
      </c>
      <c r="H120" s="4" t="s">
        <v>1</v>
      </c>
      <c r="N120" s="5" t="s">
        <v>2</v>
      </c>
      <c r="P120" s="5" t="s">
        <v>3</v>
      </c>
    </row>
    <row r="121" spans="1:16" ht="12.75">
      <c r="A121" s="4" t="s">
        <v>143</v>
      </c>
      <c r="B121" s="6"/>
      <c r="C121" s="7" t="s">
        <v>4</v>
      </c>
      <c r="D121" s="7" t="s">
        <v>5</v>
      </c>
      <c r="E121" s="7" t="s">
        <v>6</v>
      </c>
      <c r="F121" s="6"/>
      <c r="G121" s="7" t="s">
        <v>7</v>
      </c>
      <c r="H121" s="7" t="s">
        <v>8</v>
      </c>
      <c r="I121" s="7" t="s">
        <v>9</v>
      </c>
      <c r="J121" s="7" t="s">
        <v>10</v>
      </c>
      <c r="K121" s="6"/>
      <c r="L121" s="8" t="s">
        <v>11</v>
      </c>
      <c r="M121" s="6"/>
      <c r="N121" s="8" t="s">
        <v>12</v>
      </c>
      <c r="O121" s="6"/>
      <c r="P121" s="8" t="s">
        <v>13</v>
      </c>
    </row>
    <row r="122" spans="2:16" ht="12" customHeight="1">
      <c r="B122" s="9" t="s">
        <v>144</v>
      </c>
      <c r="C122" s="3">
        <f aca="true" t="shared" si="10" ref="C122:C138">D122+E122</f>
        <v>457</v>
      </c>
      <c r="D122" s="3">
        <v>277</v>
      </c>
      <c r="E122" s="3">
        <v>180</v>
      </c>
      <c r="G122" s="3">
        <v>1</v>
      </c>
      <c r="H122" s="3">
        <v>14</v>
      </c>
      <c r="I122" s="3">
        <v>16</v>
      </c>
      <c r="J122" s="3">
        <v>10</v>
      </c>
      <c r="L122" s="3">
        <f aca="true" t="shared" si="11" ref="L122:L135">(C122-N122)</f>
        <v>299</v>
      </c>
      <c r="N122" s="3">
        <f>94+64</f>
        <v>158</v>
      </c>
      <c r="P122" s="3">
        <f>18+14</f>
        <v>32</v>
      </c>
    </row>
    <row r="123" spans="2:16" ht="12" customHeight="1">
      <c r="B123" s="9" t="s">
        <v>167</v>
      </c>
      <c r="C123" s="3">
        <f t="shared" si="10"/>
        <v>14</v>
      </c>
      <c r="D123" s="3">
        <v>12</v>
      </c>
      <c r="E123" s="3">
        <v>2</v>
      </c>
      <c r="J123" s="3">
        <v>1</v>
      </c>
      <c r="L123" s="3">
        <f t="shared" si="11"/>
        <v>1</v>
      </c>
      <c r="N123" s="3">
        <v>13</v>
      </c>
      <c r="P123" s="3">
        <v>12</v>
      </c>
    </row>
    <row r="124" spans="2:16" ht="12" customHeight="1">
      <c r="B124" s="9" t="s">
        <v>145</v>
      </c>
      <c r="C124" s="3">
        <f t="shared" si="10"/>
        <v>12</v>
      </c>
      <c r="D124" s="3">
        <v>9</v>
      </c>
      <c r="E124" s="3">
        <v>3</v>
      </c>
      <c r="I124" s="3">
        <v>1</v>
      </c>
      <c r="L124" s="3">
        <f t="shared" si="11"/>
        <v>2</v>
      </c>
      <c r="N124" s="3">
        <v>10</v>
      </c>
      <c r="P124" s="3">
        <v>6</v>
      </c>
    </row>
    <row r="125" spans="2:16" ht="12" customHeight="1">
      <c r="B125" s="9" t="s">
        <v>214</v>
      </c>
      <c r="C125" s="3">
        <f>D125+E125</f>
        <v>2</v>
      </c>
      <c r="D125" s="3">
        <v>1</v>
      </c>
      <c r="E125" s="3">
        <v>1</v>
      </c>
      <c r="L125" s="3">
        <f>(C125-N125)</f>
        <v>1</v>
      </c>
      <c r="N125" s="3">
        <v>1</v>
      </c>
      <c r="P125" s="3">
        <v>1</v>
      </c>
    </row>
    <row r="126" spans="2:14" ht="12" customHeight="1">
      <c r="B126" s="9" t="s">
        <v>163</v>
      </c>
      <c r="C126" s="3">
        <f t="shared" si="10"/>
        <v>2</v>
      </c>
      <c r="D126" s="3">
        <v>0</v>
      </c>
      <c r="E126" s="3">
        <v>2</v>
      </c>
      <c r="L126" s="3">
        <f t="shared" si="11"/>
        <v>0</v>
      </c>
      <c r="N126" s="3">
        <v>2</v>
      </c>
    </row>
    <row r="127" spans="2:16" ht="12.75">
      <c r="B127" s="9" t="s">
        <v>146</v>
      </c>
      <c r="C127" s="3">
        <f t="shared" si="10"/>
        <v>16</v>
      </c>
      <c r="D127" s="3">
        <v>7</v>
      </c>
      <c r="E127" s="3">
        <v>9</v>
      </c>
      <c r="J127" s="3">
        <v>1</v>
      </c>
      <c r="L127" s="3">
        <f t="shared" si="11"/>
        <v>1</v>
      </c>
      <c r="N127" s="3">
        <v>15</v>
      </c>
      <c r="P127" s="3">
        <v>8</v>
      </c>
    </row>
    <row r="128" spans="2:12" ht="12.75">
      <c r="B128" s="9" t="s">
        <v>164</v>
      </c>
      <c r="C128" s="3">
        <f t="shared" si="10"/>
        <v>0</v>
      </c>
      <c r="D128" s="3">
        <v>0</v>
      </c>
      <c r="E128" s="3">
        <v>0</v>
      </c>
      <c r="L128" s="3">
        <f t="shared" si="11"/>
        <v>0</v>
      </c>
    </row>
    <row r="129" spans="2:16" ht="12.75">
      <c r="B129" s="9" t="s">
        <v>168</v>
      </c>
      <c r="C129" s="3">
        <f t="shared" si="10"/>
        <v>21</v>
      </c>
      <c r="D129" s="3">
        <v>18</v>
      </c>
      <c r="E129" s="3">
        <v>3</v>
      </c>
      <c r="H129" s="3">
        <v>2</v>
      </c>
      <c r="L129" s="3">
        <f t="shared" si="11"/>
        <v>9</v>
      </c>
      <c r="N129" s="3">
        <v>12</v>
      </c>
      <c r="P129" s="3">
        <v>1</v>
      </c>
    </row>
    <row r="130" spans="2:16" ht="12.75">
      <c r="B130" s="9" t="s">
        <v>147</v>
      </c>
      <c r="C130" s="3">
        <f t="shared" si="10"/>
        <v>6</v>
      </c>
      <c r="D130" s="3">
        <v>4</v>
      </c>
      <c r="E130" s="3">
        <v>2</v>
      </c>
      <c r="L130" s="3">
        <f t="shared" si="11"/>
        <v>3</v>
      </c>
      <c r="N130" s="3">
        <v>3</v>
      </c>
      <c r="P130" s="3">
        <v>2</v>
      </c>
    </row>
    <row r="131" spans="2:14" ht="12" customHeight="1">
      <c r="B131" s="9" t="s">
        <v>155</v>
      </c>
      <c r="C131" s="3">
        <f>D131+E131</f>
        <v>13</v>
      </c>
      <c r="D131" s="3">
        <v>12</v>
      </c>
      <c r="E131" s="3">
        <v>1</v>
      </c>
      <c r="H131" s="3">
        <v>1</v>
      </c>
      <c r="I131" s="3">
        <v>1</v>
      </c>
      <c r="J131" s="3">
        <v>1</v>
      </c>
      <c r="L131" s="3">
        <f>(C131-N131)</f>
        <v>5</v>
      </c>
      <c r="N131" s="3">
        <v>8</v>
      </c>
    </row>
    <row r="132" spans="2:16" ht="12" customHeight="1">
      <c r="B132" s="9" t="s">
        <v>148</v>
      </c>
      <c r="C132" s="3">
        <f t="shared" si="10"/>
        <v>75</v>
      </c>
      <c r="D132" s="3">
        <v>31</v>
      </c>
      <c r="E132" s="3">
        <v>44</v>
      </c>
      <c r="G132" s="3">
        <v>1</v>
      </c>
      <c r="H132" s="3">
        <v>13</v>
      </c>
      <c r="I132" s="3">
        <v>1</v>
      </c>
      <c r="J132" s="3">
        <v>3</v>
      </c>
      <c r="L132" s="3">
        <f t="shared" si="11"/>
        <v>36</v>
      </c>
      <c r="N132" s="3">
        <f>15+24</f>
        <v>39</v>
      </c>
      <c r="P132" s="3">
        <v>19</v>
      </c>
    </row>
    <row r="133" spans="2:16" ht="12" customHeight="1">
      <c r="B133" s="9" t="s">
        <v>149</v>
      </c>
      <c r="C133" s="3">
        <f t="shared" si="10"/>
        <v>6</v>
      </c>
      <c r="D133" s="3">
        <v>3</v>
      </c>
      <c r="E133" s="3">
        <v>3</v>
      </c>
      <c r="L133" s="3">
        <f t="shared" si="11"/>
        <v>0</v>
      </c>
      <c r="N133" s="3">
        <v>6</v>
      </c>
      <c r="P133" s="3">
        <v>4</v>
      </c>
    </row>
    <row r="134" spans="2:16" ht="12" customHeight="1">
      <c r="B134" s="9" t="s">
        <v>150</v>
      </c>
      <c r="C134" s="3">
        <f t="shared" si="10"/>
        <v>5</v>
      </c>
      <c r="D134" s="3">
        <v>1</v>
      </c>
      <c r="E134" s="3">
        <v>4</v>
      </c>
      <c r="I134" s="3">
        <v>1</v>
      </c>
      <c r="L134" s="3">
        <f t="shared" si="11"/>
        <v>2</v>
      </c>
      <c r="N134" s="3">
        <v>3</v>
      </c>
      <c r="P134" s="3">
        <v>1</v>
      </c>
    </row>
    <row r="135" spans="2:16" ht="12" customHeight="1">
      <c r="B135" s="9" t="s">
        <v>151</v>
      </c>
      <c r="C135" s="3">
        <f t="shared" si="10"/>
        <v>6</v>
      </c>
      <c r="D135" s="3">
        <v>4</v>
      </c>
      <c r="E135" s="3">
        <v>2</v>
      </c>
      <c r="L135" s="3">
        <f t="shared" si="11"/>
        <v>1</v>
      </c>
      <c r="N135" s="3">
        <v>5</v>
      </c>
      <c r="P135" s="3">
        <v>3</v>
      </c>
    </row>
    <row r="136" spans="2:16" ht="12" customHeight="1">
      <c r="B136" s="9" t="s">
        <v>227</v>
      </c>
      <c r="C136" s="3">
        <f>D136+E136</f>
        <v>12</v>
      </c>
      <c r="D136" s="3">
        <v>11</v>
      </c>
      <c r="E136" s="3">
        <v>1</v>
      </c>
      <c r="I136" s="3">
        <v>1</v>
      </c>
      <c r="L136" s="3">
        <f>(C136-N136)</f>
        <v>4</v>
      </c>
      <c r="N136" s="3">
        <v>8</v>
      </c>
      <c r="P136" s="3">
        <v>3</v>
      </c>
    </row>
    <row r="137" spans="2:12" ht="12" customHeight="1">
      <c r="B137" s="9" t="s">
        <v>156</v>
      </c>
      <c r="C137" s="3">
        <f t="shared" si="10"/>
        <v>0</v>
      </c>
      <c r="D137" s="3">
        <v>0</v>
      </c>
      <c r="E137" s="3">
        <v>0</v>
      </c>
      <c r="L137" s="3">
        <f>(C137-N137)</f>
        <v>0</v>
      </c>
    </row>
    <row r="138" spans="2:16" ht="12" customHeight="1">
      <c r="B138" s="9" t="s">
        <v>161</v>
      </c>
      <c r="C138" s="3">
        <f t="shared" si="10"/>
        <v>2</v>
      </c>
      <c r="D138" s="3">
        <v>1</v>
      </c>
      <c r="E138" s="3">
        <v>1</v>
      </c>
      <c r="H138" s="3">
        <v>1</v>
      </c>
      <c r="L138" s="3">
        <f>(C138-N138)</f>
        <v>0</v>
      </c>
      <c r="N138" s="3">
        <v>2</v>
      </c>
      <c r="P138" s="3">
        <v>1</v>
      </c>
    </row>
    <row r="140" spans="1:16" ht="12.75">
      <c r="A140" s="9" t="s">
        <v>4</v>
      </c>
      <c r="C140" s="3">
        <f>SUM(C122:C139)</f>
        <v>649</v>
      </c>
      <c r="D140" s="3">
        <f>SUM(D122:D139)</f>
        <v>391</v>
      </c>
      <c r="E140" s="3">
        <f aca="true" t="shared" si="12" ref="E140:J140">SUM(E122:E138)</f>
        <v>258</v>
      </c>
      <c r="F140" s="3">
        <f t="shared" si="12"/>
        <v>0</v>
      </c>
      <c r="G140" s="3">
        <f t="shared" si="12"/>
        <v>2</v>
      </c>
      <c r="H140" s="3">
        <f t="shared" si="12"/>
        <v>31</v>
      </c>
      <c r="I140" s="3">
        <f t="shared" si="12"/>
        <v>21</v>
      </c>
      <c r="J140" s="3">
        <f t="shared" si="12"/>
        <v>16</v>
      </c>
      <c r="L140" s="3">
        <f>SUM(L122:L139)</f>
        <v>364</v>
      </c>
      <c r="N140" s="3">
        <f>SUM(N122:N138)</f>
        <v>285</v>
      </c>
      <c r="P140" s="3">
        <f>SUM(P122:P138)</f>
        <v>93</v>
      </c>
    </row>
    <row r="141" ht="12.75">
      <c r="H141" s="6"/>
    </row>
    <row r="142" ht="12.75">
      <c r="H142" s="6"/>
    </row>
    <row r="143" ht="12.75">
      <c r="H143" s="6"/>
    </row>
    <row r="144" spans="8:16" ht="12.75">
      <c r="H144" s="4" t="s">
        <v>1</v>
      </c>
      <c r="N144" s="5" t="s">
        <v>2</v>
      </c>
      <c r="P144" s="5" t="s">
        <v>3</v>
      </c>
    </row>
    <row r="145" spans="3:16" ht="12.75">
      <c r="C145" s="7" t="s">
        <v>4</v>
      </c>
      <c r="D145" s="7" t="s">
        <v>5</v>
      </c>
      <c r="E145" s="7" t="s">
        <v>6</v>
      </c>
      <c r="F145" s="6"/>
      <c r="G145" s="7" t="s">
        <v>7</v>
      </c>
      <c r="H145" s="7" t="s">
        <v>8</v>
      </c>
      <c r="I145" s="7" t="s">
        <v>9</v>
      </c>
      <c r="J145" s="7" t="s">
        <v>10</v>
      </c>
      <c r="K145" s="6"/>
      <c r="L145" s="8" t="s">
        <v>11</v>
      </c>
      <c r="M145" s="6"/>
      <c r="N145" s="8" t="s">
        <v>12</v>
      </c>
      <c r="O145" s="6"/>
      <c r="P145" s="8" t="s">
        <v>13</v>
      </c>
    </row>
    <row r="147" spans="1:16" ht="12.75">
      <c r="A147" s="9" t="s">
        <v>152</v>
      </c>
      <c r="C147" s="3">
        <f aca="true" t="shared" si="13" ref="C147:J147">C24+C33+C44+C63+C80+C104+C116+C140</f>
        <v>4664</v>
      </c>
      <c r="D147" s="3">
        <f t="shared" si="13"/>
        <v>2787</v>
      </c>
      <c r="E147" s="3">
        <f t="shared" si="13"/>
        <v>1877</v>
      </c>
      <c r="F147" s="3">
        <f t="shared" si="13"/>
        <v>0</v>
      </c>
      <c r="G147" s="3">
        <f t="shared" si="13"/>
        <v>14</v>
      </c>
      <c r="H147" s="3">
        <f t="shared" si="13"/>
        <v>141</v>
      </c>
      <c r="I147" s="3">
        <f t="shared" si="13"/>
        <v>95</v>
      </c>
      <c r="J147" s="3">
        <f t="shared" si="13"/>
        <v>70</v>
      </c>
      <c r="L147" s="3">
        <f>L24+L33+L44+L63+L80+L104+L116+L140</f>
        <v>2010</v>
      </c>
      <c r="N147" s="3">
        <f>N24+N33+N44+N63+N80+N104+N116+N140</f>
        <v>2654</v>
      </c>
      <c r="P147" s="3">
        <f>P24+P33+P44+P63+P80+P104+P116+P140</f>
        <v>1481</v>
      </c>
    </row>
    <row r="154" ht="12.75">
      <c r="A154" s="9" t="s">
        <v>153</v>
      </c>
    </row>
    <row r="155" ht="12.75">
      <c r="B155" s="9" t="s">
        <v>104</v>
      </c>
    </row>
    <row r="156" ht="12.75">
      <c r="B156" s="9" t="s">
        <v>105</v>
      </c>
    </row>
    <row r="157" ht="12.75">
      <c r="B157" s="9" t="s">
        <v>106</v>
      </c>
    </row>
    <row r="158" ht="12.75">
      <c r="B158" s="9" t="s">
        <v>107</v>
      </c>
    </row>
    <row r="160" ht="12.75">
      <c r="A160" s="9" t="s">
        <v>108</v>
      </c>
    </row>
    <row r="162" ht="12.75">
      <c r="A162" s="16"/>
    </row>
  </sheetData>
  <mergeCells count="2">
    <mergeCell ref="A48:Q48"/>
    <mergeCell ref="A105:Q105"/>
  </mergeCells>
  <printOptions horizontalCentered="1"/>
  <pageMargins left="0.5" right="0.5" top="0.75" bottom="0.5" header="0.5" footer="0.5"/>
  <pageSetup fitToHeight="0" horizontalDpi="300" verticalDpi="300" orientation="portrait" scale="95" r:id="rId1"/>
  <headerFooter alignWithMargins="0">
    <oddHeader>&amp;R&amp;"Times New Roman,Regular"Page &amp;P</oddHeader>
  </headerFooter>
  <rowBreaks count="2" manualBreakCount="2">
    <brk id="47" max="16" man="1"/>
    <brk id="1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mkmcdow</cp:lastModifiedBy>
  <cp:lastPrinted>2007-09-12T16:23:08Z</cp:lastPrinted>
  <dcterms:created xsi:type="dcterms:W3CDTF">1999-09-01T19:18:26Z</dcterms:created>
  <dcterms:modified xsi:type="dcterms:W3CDTF">2007-09-19T15:04:37Z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