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'Grads'!$A$1:$S$161</definedName>
    <definedName name="_xlnm.Print_Area" localSheetId="0">'UGs'!$A$1:$S$217</definedName>
    <definedName name="_xlnm.Print_Area" localSheetId="1">'Vet Med'!$A$1:$S$49</definedName>
  </definedNames>
  <calcPr fullCalcOnLoad="1"/>
</workbook>
</file>

<file path=xl/sharedStrings.xml><?xml version="1.0" encoding="utf-8"?>
<sst xmlns="http://schemas.openxmlformats.org/spreadsheetml/2006/main" count="497" uniqueCount="232">
  <si>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</si>
  <si>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</si>
  <si>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</si>
  <si>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</si>
  <si>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</si>
  <si>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</si>
  <si>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</si>
  <si>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</si>
  <si>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</si>
  <si>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</si>
  <si>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</si>
  <si>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</si>
  <si>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national**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</si>
  <si>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</si>
  <si>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</si>
  <si>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</si>
  <si>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</si>
  <si>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</si>
  <si>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</si>
  <si>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</si>
  <si>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</si>
  <si>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</si>
  <si>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</si>
  <si>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Genetics (See also LAS)</t>
  </si>
  <si>
    <t>Horticulture</t>
  </si>
  <si>
    <t>Microbiology</t>
  </si>
  <si>
    <t>Plant Health &amp; Protection</t>
  </si>
  <si>
    <t>Professional Agriculture</t>
  </si>
  <si>
    <t>College of Business</t>
  </si>
  <si>
    <t>Business - Undeclared</t>
  </si>
  <si>
    <t>Accounting</t>
  </si>
  <si>
    <t>Finance</t>
  </si>
  <si>
    <t>Management</t>
  </si>
  <si>
    <t>Marketing</t>
  </si>
  <si>
    <t>Pre-Business</t>
  </si>
  <si>
    <t>College of Design</t>
  </si>
  <si>
    <t>Design - Undeclared</t>
  </si>
  <si>
    <t>Art &amp; Design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</si>
  <si>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</si>
  <si>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</si>
  <si>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</si>
  <si>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</si>
  <si>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</si>
  <si>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</si>
  <si>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</si>
  <si>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</si>
  <si>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</si>
  <si>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</si>
  <si>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</si>
  <si>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</si>
  <si>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</si>
  <si>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</si>
  <si>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</si>
  <si>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</si>
  <si>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</si>
  <si>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</si>
  <si>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</si>
  <si>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</si>
  <si>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</si>
  <si>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</si>
  <si>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</si>
  <si>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</si>
  <si>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</si>
  <si>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</si>
  <si>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French</t>
  </si>
  <si>
    <t>Geology</t>
  </si>
  <si>
    <t>German</t>
  </si>
  <si>
    <t>History</t>
  </si>
  <si>
    <t>Interdisciplinary Studies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</si>
  <si>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</si>
  <si>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</si>
  <si>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</si>
  <si>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</si>
  <si>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</si>
  <si>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</si>
  <si>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</si>
  <si>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</si>
  <si>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</si>
  <si>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</si>
  <si>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</si>
  <si>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</si>
  <si>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Preparation for Law</t>
  </si>
  <si>
    <t>Psychology</t>
  </si>
  <si>
    <t>Religious Studies</t>
  </si>
  <si>
    <t>Spanish</t>
  </si>
  <si>
    <t>Speech Communication</t>
  </si>
  <si>
    <t>Statistics</t>
  </si>
  <si>
    <t>Women's Studies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</si>
  <si>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</si>
  <si>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</si>
  <si>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</si>
  <si>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</si>
  <si>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</si>
  <si>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</si>
  <si>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</si>
  <si>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**Internationals are included with the nonresidents.</t>
  </si>
  <si>
    <t>Engineering - Undeclared</t>
  </si>
  <si>
    <t>Materials Engineering</t>
  </si>
  <si>
    <t>Communications Studies</t>
  </si>
  <si>
    <t>Russian Studies</t>
  </si>
  <si>
    <t>Pre-Computer Science</t>
  </si>
  <si>
    <t>Technical Communication</t>
  </si>
  <si>
    <t>GRADUATES</t>
  </si>
  <si>
    <t>Plant Pathology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</si>
  <si>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</si>
  <si>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</si>
  <si>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</si>
  <si>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</si>
  <si>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</si>
  <si>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Materials Science &amp; Engineering</t>
  </si>
  <si>
    <t>Systems Engineering</t>
  </si>
  <si>
    <t>Biochemistry, Biophysics, &amp; Molecular Biology</t>
  </si>
  <si>
    <t>Biomedical Sciences</t>
  </si>
  <si>
    <t>Veterinary Clinical Sciences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</si>
  <si>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</si>
  <si>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</si>
  <si>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</si>
  <si>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</si>
  <si>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</si>
  <si>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</si>
  <si>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Genetics - Interdisciplinary</t>
  </si>
  <si>
    <t>Immunobiology</t>
  </si>
  <si>
    <t>Interdisciplinary Graduate Studies</t>
  </si>
  <si>
    <t>Neurosciences</t>
  </si>
  <si>
    <t>TOTAL GRADUATES</t>
  </si>
  <si>
    <t>*Includes U.S. Citizens, Immigrants, Refugees, and Asylees only.</t>
  </si>
  <si>
    <t>Log, Operations, &amp; Mgmt Info Systems</t>
  </si>
  <si>
    <t>Information Assurance</t>
  </si>
  <si>
    <t>Sustainable Agriculture</t>
  </si>
  <si>
    <t>Toxicology</t>
  </si>
  <si>
    <t>VETERINARY MEDICINE</t>
  </si>
  <si>
    <t>Ecology, Evolution and Organismal Biology</t>
  </si>
  <si>
    <t>Natural Resource Ecology &amp; Mgmt</t>
  </si>
  <si>
    <t>Undeclared Distance Learning</t>
  </si>
  <si>
    <t>Human Computer Interaction</t>
  </si>
  <si>
    <t>Iowa State University</t>
  </si>
  <si>
    <t>Open Option - LAS</t>
  </si>
  <si>
    <t>Agriculture-Undeclared</t>
  </si>
  <si>
    <t>Agricultural Systems Tech.</t>
  </si>
  <si>
    <t>Biology (See also LAS)</t>
  </si>
  <si>
    <t>Public Serv. &amp; Admin. in Ag.</t>
  </si>
  <si>
    <t>Logistics and Supply Chain Management</t>
  </si>
  <si>
    <t>Management Info. Systems</t>
  </si>
  <si>
    <t>Operations and Supply Chain Management</t>
  </si>
  <si>
    <t>Architecture-Profess. Degree</t>
  </si>
  <si>
    <t>Art &amp; Design-B.A.</t>
  </si>
  <si>
    <t>Art &amp; Design-B.F.A.</t>
  </si>
  <si>
    <t>Community &amp; Regional Plan.</t>
  </si>
  <si>
    <t>Human Sciences</t>
  </si>
  <si>
    <t xml:space="preserve">Child, Adult &amp; Family Services </t>
  </si>
  <si>
    <t xml:space="preserve">Early Childhood Education </t>
  </si>
  <si>
    <t>Family Finance, Housing &amp; Policy</t>
  </si>
  <si>
    <t>College of Human Sciences</t>
  </si>
  <si>
    <t>Intensive Engl. &amp; Orientation</t>
  </si>
  <si>
    <t>Computer Science</t>
  </si>
  <si>
    <t>Journalism &amp; Mass Comm.</t>
  </si>
  <si>
    <t>Pre-Journalism &amp; Mass Comm.</t>
  </si>
  <si>
    <t>Prep. for Human Medicine</t>
  </si>
  <si>
    <t>Preprofess. Health Programs</t>
  </si>
  <si>
    <t>Chemical &amp; Biological Engineering</t>
  </si>
  <si>
    <t>Veterinary Medicine Nebraska Alliance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</si>
  <si>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</si>
  <si>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</si>
  <si>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</si>
  <si>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</si>
  <si>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</si>
  <si>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</si>
  <si>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Kinesiology</t>
  </si>
  <si>
    <t>Agricultural Exploration</t>
  </si>
  <si>
    <t>Business Economics</t>
  </si>
  <si>
    <t>Integrated Studio Arts</t>
  </si>
  <si>
    <t>Kinesiology and Health</t>
  </si>
  <si>
    <t>Nutritional Sciences</t>
  </si>
  <si>
    <t xml:space="preserve">FALL SEMESTER 2009 ENROLLMENT </t>
  </si>
  <si>
    <t>FALL SEMESTER 2009 ENROLLMENT</t>
  </si>
  <si>
    <t>Agricultural &amp; Life Sciences Education</t>
  </si>
  <si>
    <t>Culinary Science (See also H Sci)</t>
  </si>
  <si>
    <t>Diet and Exercise (see also H Sci)</t>
  </si>
  <si>
    <t>Dietetics (See also H Sci)</t>
  </si>
  <si>
    <t>Environmental Science (See also LAS)</t>
  </si>
  <si>
    <t>Food Science (see also H Sci)</t>
  </si>
  <si>
    <t>Global Resource Systems</t>
  </si>
  <si>
    <t>Insect Science</t>
  </si>
  <si>
    <t>Nutritional Science (See also H Sci)</t>
  </si>
  <si>
    <t>Pre Diet &amp; Exercise - (See also H Sci)</t>
  </si>
  <si>
    <t xml:space="preserve">Zoology </t>
  </si>
  <si>
    <t>Pre-Community &amp; Regional Planning</t>
  </si>
  <si>
    <t>Biological Systems Engineering</t>
  </si>
  <si>
    <t>Software Engineering (see also LAS)</t>
  </si>
  <si>
    <t>Apparel Merchandising,
  Design and Production</t>
  </si>
  <si>
    <t>Culinary Science (See also Ag LS)</t>
  </si>
  <si>
    <t>Diet and Exercise  (See also Ag LS)</t>
  </si>
  <si>
    <t>Dietetics  (See also Ag LS)</t>
  </si>
  <si>
    <t>Family &amp; Consumer Sciences 
   Education &amp; Studies</t>
  </si>
  <si>
    <t>Food Science (See also Ag LS)</t>
  </si>
  <si>
    <t>Hotel, Restaurant and
   Institution Management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</si>
  <si>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</si>
  <si>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</si>
  <si>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</si>
  <si>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</si>
  <si>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 See also Ag LS)</t>
  </si>
  <si>
    <t>Genetics (See also Ag LS)</t>
  </si>
  <si>
    <t>Sociology (See also Ag LS)</t>
  </si>
  <si>
    <t>Software Engineering (see also ENGR)</t>
  </si>
  <si>
    <t>World Languages &amp; Cultures</t>
  </si>
  <si>
    <t>Agricultural Educ. &amp; Studies</t>
  </si>
  <si>
    <t xml:space="preserve">Ecology, Evolution and Organismal Biology </t>
  </si>
  <si>
    <t>Economics</t>
  </si>
  <si>
    <t>Food Science &amp; Human Nutrition</t>
  </si>
  <si>
    <t xml:space="preserve">Genetics, Development and Cell Biology </t>
  </si>
  <si>
    <t>Sociology</t>
  </si>
  <si>
    <t>Agricultural &amp; Biosystems Engineering (See also Ag LS)</t>
  </si>
  <si>
    <t>Civil, Construction &amp; Environmental Engr.</t>
  </si>
  <si>
    <t>Electrical &amp; Computer Engr.</t>
  </si>
  <si>
    <t>Ind. &amp; Manufacturing Syst. Eng.</t>
  </si>
  <si>
    <t>Apparel, Educational Studies,
  &amp; Hospitality Management</t>
  </si>
  <si>
    <t xml:space="preserve">Family &amp; Consumer Sciences </t>
  </si>
  <si>
    <t>Human Development  &amp; Family Studies</t>
  </si>
  <si>
    <t>Geological &amp; Atmospheric Sci.</t>
  </si>
  <si>
    <t>Physics and Astronomy</t>
  </si>
  <si>
    <t>Vet. Diagnostic &amp; Production Animal Medicine</t>
  </si>
  <si>
    <t>Biorenewable Resources and Tech.</t>
  </si>
  <si>
    <t>Mol. Cell. &amp; Develpmt. Biology</t>
  </si>
  <si>
    <t>Plant Biology</t>
  </si>
  <si>
    <t>Seed Technology &amp; Business</t>
  </si>
  <si>
    <t>Agricultural &amp; Biosystems Engineering (see also ENGR)**</t>
  </si>
  <si>
    <t>4 = Asian</t>
  </si>
  <si>
    <t>5 = Native Hawaiian or Pacific Islander</t>
  </si>
  <si>
    <t>6 = Hispanic/Latino of any race</t>
  </si>
  <si>
    <t>7 = Two or more races</t>
  </si>
  <si>
    <t>Biological/Pre-Med. Illustration.</t>
  </si>
  <si>
    <t>College of Agriculture &amp; Life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</si>
</sst>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0.00_);[Red]\(0.00\)"/>
    <numFmt numFmtId="167" formatCode="0.0_);[Red]\(0.0\)"/>
  </numFmts>
  <fonts count="46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16"/>
  <sheetViews>
    <sheetView showGridLines="0" tabSelected="1" view="pageBreakPreview" zoomScaleNormal="140" zoomScaleSheetLayoutView="100" workbookViewId="0" topLeftCell="A1">
      <selection activeCell="B5" sqref="B5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3" width="6.421875" style="3" customWidth="1"/>
    <col min="4" max="4" width="6.28125" style="3" customWidth="1"/>
    <col min="5" max="5" width="7.28125" style="3" customWidth="1"/>
    <col min="6" max="6" width="1.1484375" style="3" customWidth="1"/>
    <col min="7" max="7" width="3.7109375" style="3" customWidth="1"/>
    <col min="8" max="11" width="4.28125" style="3" customWidth="1"/>
    <col min="12" max="12" width="4.57421875" style="3" customWidth="1"/>
    <col min="13" max="13" width="1.1484375" style="3" customWidth="1"/>
    <col min="14" max="14" width="5.7109375" style="19" customWidth="1"/>
    <col min="15" max="15" width="2.7109375" style="3" customWidth="1"/>
    <col min="16" max="16" width="5.140625" style="3" customWidth="1"/>
    <col min="17" max="17" width="2.7109375" style="3" customWidth="1"/>
    <col min="18" max="18" width="4.7109375" style="3" customWidth="1"/>
    <col min="19" max="19" width="2.28125" style="3" customWidth="1"/>
    <col min="20" max="16384" width="9.7109375" style="3" customWidth="1"/>
  </cols>
  <sheetData>
    <row r="1" spans="1:19" ht="15.75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1"/>
      <c r="P1" s="1"/>
      <c r="Q1" s="1"/>
      <c r="R1" s="1"/>
      <c r="S1" s="2"/>
    </row>
    <row r="2" spans="1:19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"/>
      <c r="O2" s="1"/>
      <c r="P2" s="1"/>
      <c r="Q2" s="1"/>
      <c r="R2" s="1"/>
      <c r="S2" s="2"/>
    </row>
    <row r="3" spans="1:18" ht="15.75">
      <c r="A3" s="27" t="s">
        <v>135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6" spans="7:18" ht="12.75">
      <c r="G6" s="26" t="s">
        <v>1</v>
      </c>
      <c r="H6" s="26"/>
      <c r="I6" s="26"/>
      <c r="J6" s="26"/>
      <c r="K6" s="26"/>
      <c r="L6" s="26"/>
      <c r="P6" s="5" t="s">
        <v>2</v>
      </c>
      <c r="R6" s="5" t="s">
        <v>3</v>
      </c>
    </row>
    <row r="7" spans="1:18" ht="12.75">
      <c r="A7" s="4" t="s">
        <v>231</v>
      </c>
      <c r="B7" s="6"/>
      <c r="C7" s="7" t="s">
        <v>4</v>
      </c>
      <c r="D7" s="7" t="s">
        <v>5</v>
      </c>
      <c r="E7" s="7" t="s">
        <v>6</v>
      </c>
      <c r="F7" s="6"/>
      <c r="G7" s="7" t="s">
        <v>7</v>
      </c>
      <c r="H7" s="7" t="s">
        <v>8</v>
      </c>
      <c r="I7" s="7" t="s">
        <v>9</v>
      </c>
      <c r="J7" s="7">
        <v>5</v>
      </c>
      <c r="K7" s="7">
        <v>6</v>
      </c>
      <c r="L7" s="7">
        <v>7</v>
      </c>
      <c r="M7" s="6"/>
      <c r="N7" s="21" t="s">
        <v>10</v>
      </c>
      <c r="O7" s="6"/>
      <c r="P7" s="8" t="s">
        <v>11</v>
      </c>
      <c r="Q7" s="6"/>
      <c r="R7" s="8" t="s">
        <v>12</v>
      </c>
    </row>
    <row r="8" spans="2:18" ht="12" customHeight="1">
      <c r="B8" s="14" t="s">
        <v>161</v>
      </c>
      <c r="C8" s="3">
        <f>D8+E8</f>
        <v>44</v>
      </c>
      <c r="D8" s="3">
        <v>22</v>
      </c>
      <c r="E8" s="3">
        <v>22</v>
      </c>
      <c r="H8" s="3">
        <v>3</v>
      </c>
      <c r="K8" s="3">
        <v>1</v>
      </c>
      <c r="N8" s="19">
        <f>(C8-P8)</f>
        <v>11</v>
      </c>
      <c r="P8" s="3">
        <f>18+15</f>
        <v>33</v>
      </c>
      <c r="R8" s="3">
        <v>8</v>
      </c>
    </row>
    <row r="9" spans="2:16" ht="12" customHeight="1">
      <c r="B9" s="14" t="s">
        <v>137</v>
      </c>
      <c r="C9" s="3">
        <f>D9+E9</f>
        <v>0</v>
      </c>
      <c r="D9" s="3">
        <v>0</v>
      </c>
      <c r="E9" s="3">
        <v>0</v>
      </c>
      <c r="N9" s="19">
        <f>(C9-P9)</f>
        <v>0</v>
      </c>
      <c r="P9" s="3">
        <v>0</v>
      </c>
    </row>
    <row r="10" spans="2:16" ht="12" customHeight="1">
      <c r="B10" s="14" t="s">
        <v>175</v>
      </c>
      <c r="C10" s="3">
        <f>D10+E10</f>
        <v>103</v>
      </c>
      <c r="D10" s="3">
        <v>43</v>
      </c>
      <c r="E10" s="3">
        <v>60</v>
      </c>
      <c r="I10" s="3">
        <v>1</v>
      </c>
      <c r="N10" s="19">
        <f>(C10-P10)</f>
        <v>94</v>
      </c>
      <c r="P10" s="3">
        <v>9</v>
      </c>
    </row>
    <row r="11" spans="2:18" ht="12" customHeight="1">
      <c r="B11" s="14" t="s">
        <v>13</v>
      </c>
      <c r="C11" s="3">
        <f aca="true" t="shared" si="0" ref="C11:C27">D11+E11</f>
        <v>20</v>
      </c>
      <c r="D11" s="3">
        <v>12</v>
      </c>
      <c r="E11" s="3">
        <v>8</v>
      </c>
      <c r="I11" s="3">
        <v>2</v>
      </c>
      <c r="N11" s="19">
        <f aca="true" t="shared" si="1" ref="N11:N27">(C11-P11)</f>
        <v>15</v>
      </c>
      <c r="P11" s="3">
        <v>5</v>
      </c>
      <c r="R11" s="3">
        <v>1</v>
      </c>
    </row>
    <row r="12" spans="2:18" ht="12" customHeight="1">
      <c r="B12" s="14" t="s">
        <v>14</v>
      </c>
      <c r="C12" s="3">
        <f t="shared" si="0"/>
        <v>327</v>
      </c>
      <c r="D12" s="3">
        <v>239</v>
      </c>
      <c r="E12" s="3">
        <v>88</v>
      </c>
      <c r="K12" s="3">
        <v>3</v>
      </c>
      <c r="N12" s="19">
        <f t="shared" si="1"/>
        <v>300</v>
      </c>
      <c r="P12" s="3">
        <v>27</v>
      </c>
      <c r="R12" s="3">
        <v>6</v>
      </c>
    </row>
    <row r="13" spans="2:16" ht="12" customHeight="1">
      <c r="B13" s="14" t="s">
        <v>168</v>
      </c>
      <c r="C13" s="3">
        <f>D13+E13</f>
        <v>32</v>
      </c>
      <c r="D13" s="3">
        <v>17</v>
      </c>
      <c r="E13" s="3">
        <v>15</v>
      </c>
      <c r="L13" s="3">
        <v>1</v>
      </c>
      <c r="N13" s="19">
        <f>(C13-P13)</f>
        <v>30</v>
      </c>
      <c r="P13" s="3">
        <v>2</v>
      </c>
    </row>
    <row r="14" spans="2:16" ht="12" customHeight="1">
      <c r="B14" s="15" t="s">
        <v>15</v>
      </c>
      <c r="C14" s="3">
        <f t="shared" si="0"/>
        <v>242</v>
      </c>
      <c r="D14" s="3">
        <v>210</v>
      </c>
      <c r="E14" s="3">
        <v>32</v>
      </c>
      <c r="H14" s="3">
        <v>1</v>
      </c>
      <c r="N14" s="19">
        <f t="shared" si="1"/>
        <v>233</v>
      </c>
      <c r="P14" s="3">
        <v>9</v>
      </c>
    </row>
    <row r="15" spans="2:16" ht="12" customHeight="1">
      <c r="B15" s="14" t="s">
        <v>138</v>
      </c>
      <c r="C15" s="3">
        <f t="shared" si="0"/>
        <v>126</v>
      </c>
      <c r="D15" s="3">
        <v>121</v>
      </c>
      <c r="E15" s="3">
        <v>5</v>
      </c>
      <c r="K15" s="3">
        <v>1</v>
      </c>
      <c r="N15" s="19">
        <f t="shared" si="1"/>
        <v>113</v>
      </c>
      <c r="P15" s="3">
        <v>13</v>
      </c>
    </row>
    <row r="16" spans="2:18" ht="12" customHeight="1">
      <c r="B16" s="15" t="s">
        <v>16</v>
      </c>
      <c r="C16" s="3">
        <f t="shared" si="0"/>
        <v>183</v>
      </c>
      <c r="D16" s="3">
        <v>145</v>
      </c>
      <c r="E16" s="3">
        <v>38</v>
      </c>
      <c r="H16" s="3">
        <v>3</v>
      </c>
      <c r="I16" s="3">
        <v>1</v>
      </c>
      <c r="N16" s="19">
        <f t="shared" si="1"/>
        <v>160</v>
      </c>
      <c r="P16" s="3">
        <v>23</v>
      </c>
      <c r="R16" s="3">
        <v>2</v>
      </c>
    </row>
    <row r="17" spans="2:18" ht="12" customHeight="1">
      <c r="B17" s="14" t="s">
        <v>17</v>
      </c>
      <c r="C17" s="3">
        <f t="shared" si="0"/>
        <v>295</v>
      </c>
      <c r="D17" s="3">
        <v>147</v>
      </c>
      <c r="E17" s="3">
        <v>148</v>
      </c>
      <c r="G17" s="3">
        <v>1</v>
      </c>
      <c r="H17" s="3">
        <v>3</v>
      </c>
      <c r="I17" s="3">
        <v>5</v>
      </c>
      <c r="K17" s="3">
        <v>12</v>
      </c>
      <c r="L17" s="3">
        <v>1</v>
      </c>
      <c r="N17" s="19">
        <f t="shared" si="1"/>
        <v>250</v>
      </c>
      <c r="P17" s="3">
        <f>14+31</f>
        <v>45</v>
      </c>
      <c r="R17" s="3">
        <v>1</v>
      </c>
    </row>
    <row r="18" spans="2:18" ht="12" customHeight="1">
      <c r="B18" s="15" t="s">
        <v>18</v>
      </c>
      <c r="C18" s="3">
        <f t="shared" si="0"/>
        <v>705</v>
      </c>
      <c r="D18" s="3">
        <v>187</v>
      </c>
      <c r="E18" s="3">
        <v>518</v>
      </c>
      <c r="G18" s="3">
        <v>4</v>
      </c>
      <c r="H18" s="3">
        <v>7</v>
      </c>
      <c r="I18" s="3">
        <v>7</v>
      </c>
      <c r="K18" s="3">
        <f>8+22</f>
        <v>30</v>
      </c>
      <c r="L18" s="3">
        <v>5</v>
      </c>
      <c r="N18" s="19">
        <f t="shared" si="1"/>
        <v>528</v>
      </c>
      <c r="P18" s="3">
        <f>36+141</f>
        <v>177</v>
      </c>
      <c r="R18" s="3">
        <v>6</v>
      </c>
    </row>
    <row r="19" spans="2:18" ht="12" customHeight="1">
      <c r="B19" s="14" t="s">
        <v>139</v>
      </c>
      <c r="C19" s="3">
        <f t="shared" si="0"/>
        <v>186</v>
      </c>
      <c r="D19" s="3">
        <v>68</v>
      </c>
      <c r="E19" s="3">
        <v>118</v>
      </c>
      <c r="H19" s="3">
        <v>4</v>
      </c>
      <c r="I19" s="3">
        <v>2</v>
      </c>
      <c r="K19" s="3">
        <v>11</v>
      </c>
      <c r="L19" s="3">
        <v>4</v>
      </c>
      <c r="N19" s="19">
        <f t="shared" si="1"/>
        <v>145</v>
      </c>
      <c r="P19" s="3">
        <f>9+32</f>
        <v>41</v>
      </c>
      <c r="R19" s="3">
        <v>5</v>
      </c>
    </row>
    <row r="20" spans="2:16" ht="12" customHeight="1">
      <c r="B20" s="15" t="s">
        <v>176</v>
      </c>
      <c r="C20" s="3">
        <f t="shared" si="0"/>
        <v>6</v>
      </c>
      <c r="D20" s="3">
        <v>1</v>
      </c>
      <c r="E20" s="3">
        <v>5</v>
      </c>
      <c r="N20" s="19">
        <f t="shared" si="1"/>
        <v>5</v>
      </c>
      <c r="P20" s="3">
        <v>1</v>
      </c>
    </row>
    <row r="21" spans="2:16" ht="12" customHeight="1">
      <c r="B21" s="15" t="s">
        <v>19</v>
      </c>
      <c r="C21" s="3">
        <f>D21+E21</f>
        <v>66</v>
      </c>
      <c r="D21" s="3">
        <v>23</v>
      </c>
      <c r="E21" s="3">
        <v>43</v>
      </c>
      <c r="I21" s="3">
        <v>1</v>
      </c>
      <c r="K21" s="3">
        <v>1</v>
      </c>
      <c r="N21" s="19">
        <f>(C21-P21)</f>
        <v>54</v>
      </c>
      <c r="P21" s="3">
        <v>12</v>
      </c>
    </row>
    <row r="22" spans="2:16" ht="12" customHeight="1">
      <c r="B22" s="15" t="s">
        <v>177</v>
      </c>
      <c r="C22" s="3">
        <f t="shared" si="0"/>
        <v>0</v>
      </c>
      <c r="D22" s="3">
        <v>0</v>
      </c>
      <c r="E22" s="3">
        <v>0</v>
      </c>
      <c r="N22" s="19">
        <f t="shared" si="1"/>
        <v>0</v>
      </c>
      <c r="P22" s="3">
        <v>0</v>
      </c>
    </row>
    <row r="23" spans="2:18" ht="12" customHeight="1">
      <c r="B23" s="14" t="s">
        <v>178</v>
      </c>
      <c r="C23" s="3">
        <f t="shared" si="0"/>
        <v>21</v>
      </c>
      <c r="D23" s="3">
        <v>1</v>
      </c>
      <c r="E23" s="3">
        <v>20</v>
      </c>
      <c r="G23" s="3">
        <v>1</v>
      </c>
      <c r="N23" s="19">
        <f t="shared" si="1"/>
        <v>14</v>
      </c>
      <c r="P23" s="3">
        <v>7</v>
      </c>
      <c r="R23" s="3">
        <v>1</v>
      </c>
    </row>
    <row r="24" spans="2:16" ht="12" customHeight="1">
      <c r="B24" s="15" t="s">
        <v>20</v>
      </c>
      <c r="C24" s="3">
        <f t="shared" si="0"/>
        <v>10</v>
      </c>
      <c r="D24" s="3">
        <v>6</v>
      </c>
      <c r="E24" s="3">
        <v>4</v>
      </c>
      <c r="H24" s="3">
        <v>1</v>
      </c>
      <c r="N24" s="19">
        <f t="shared" si="1"/>
        <v>6</v>
      </c>
      <c r="P24" s="3">
        <v>4</v>
      </c>
    </row>
    <row r="25" spans="2:18" ht="12" customHeight="1">
      <c r="B25" s="15" t="s">
        <v>179</v>
      </c>
      <c r="C25" s="3">
        <f t="shared" si="0"/>
        <v>57</v>
      </c>
      <c r="D25" s="3">
        <v>33</v>
      </c>
      <c r="E25" s="3">
        <v>24</v>
      </c>
      <c r="K25" s="3">
        <v>1</v>
      </c>
      <c r="N25" s="19">
        <f t="shared" si="1"/>
        <v>36</v>
      </c>
      <c r="P25" s="3">
        <v>21</v>
      </c>
      <c r="R25" s="3">
        <v>7</v>
      </c>
    </row>
    <row r="26" spans="2:18" ht="12" customHeight="1">
      <c r="B26" s="14" t="s">
        <v>180</v>
      </c>
      <c r="C26" s="3">
        <f t="shared" si="0"/>
        <v>34</v>
      </c>
      <c r="D26" s="3">
        <v>12</v>
      </c>
      <c r="E26" s="3">
        <v>22</v>
      </c>
      <c r="H26" s="3">
        <v>1</v>
      </c>
      <c r="I26" s="3">
        <v>1</v>
      </c>
      <c r="K26" s="3">
        <v>1</v>
      </c>
      <c r="N26" s="19">
        <f t="shared" si="1"/>
        <v>17</v>
      </c>
      <c r="P26" s="3">
        <v>17</v>
      </c>
      <c r="R26" s="3">
        <v>8</v>
      </c>
    </row>
    <row r="27" spans="2:16" ht="12" customHeight="1">
      <c r="B27" s="14" t="s">
        <v>21</v>
      </c>
      <c r="C27" s="3">
        <f t="shared" si="0"/>
        <v>78</v>
      </c>
      <c r="D27" s="3">
        <v>61</v>
      </c>
      <c r="E27" s="3">
        <v>17</v>
      </c>
      <c r="L27" s="3">
        <v>1</v>
      </c>
      <c r="N27" s="19">
        <f t="shared" si="1"/>
        <v>77</v>
      </c>
      <c r="P27" s="3">
        <v>1</v>
      </c>
    </row>
    <row r="28" spans="2:16" ht="12" customHeight="1">
      <c r="B28" s="15" t="s">
        <v>22</v>
      </c>
      <c r="C28" s="3">
        <f aca="true" t="shared" si="2" ref="C28:C39">D28+E28</f>
        <v>52</v>
      </c>
      <c r="D28" s="3">
        <v>13</v>
      </c>
      <c r="E28" s="3">
        <v>39</v>
      </c>
      <c r="H28" s="3">
        <v>2</v>
      </c>
      <c r="I28" s="3">
        <v>2</v>
      </c>
      <c r="K28" s="3">
        <v>2</v>
      </c>
      <c r="N28" s="19">
        <f aca="true" t="shared" si="3" ref="N28:N36">(C28-P28)</f>
        <v>36</v>
      </c>
      <c r="P28" s="3">
        <v>16</v>
      </c>
    </row>
    <row r="29" spans="2:18" ht="12" customHeight="1">
      <c r="B29" s="14" t="s">
        <v>23</v>
      </c>
      <c r="C29" s="3">
        <f t="shared" si="2"/>
        <v>39</v>
      </c>
      <c r="D29" s="3">
        <v>10</v>
      </c>
      <c r="E29" s="3">
        <v>29</v>
      </c>
      <c r="H29" s="3">
        <v>2</v>
      </c>
      <c r="I29" s="3">
        <v>1</v>
      </c>
      <c r="K29" s="3">
        <v>2</v>
      </c>
      <c r="N29" s="19">
        <f t="shared" si="3"/>
        <v>20</v>
      </c>
      <c r="P29" s="3">
        <f>7+12</f>
        <v>19</v>
      </c>
      <c r="R29" s="3">
        <v>8</v>
      </c>
    </row>
    <row r="30" spans="2:16" ht="12" customHeight="1">
      <c r="B30" s="15" t="s">
        <v>181</v>
      </c>
      <c r="C30" s="3">
        <f t="shared" si="2"/>
        <v>14</v>
      </c>
      <c r="D30" s="3">
        <v>6</v>
      </c>
      <c r="E30" s="3">
        <v>8</v>
      </c>
      <c r="H30" s="3">
        <v>1</v>
      </c>
      <c r="L30" s="3">
        <v>2</v>
      </c>
      <c r="N30" s="19">
        <f t="shared" si="3"/>
        <v>11</v>
      </c>
      <c r="P30" s="3">
        <v>3</v>
      </c>
    </row>
    <row r="31" spans="2:18" ht="12" customHeight="1">
      <c r="B31" s="14" t="s">
        <v>24</v>
      </c>
      <c r="C31" s="3">
        <f t="shared" si="2"/>
        <v>157</v>
      </c>
      <c r="D31" s="3">
        <v>114</v>
      </c>
      <c r="E31" s="3">
        <v>43</v>
      </c>
      <c r="I31" s="3">
        <v>1</v>
      </c>
      <c r="J31" s="3">
        <v>1</v>
      </c>
      <c r="K31" s="3">
        <v>1</v>
      </c>
      <c r="N31" s="19">
        <f t="shared" si="3"/>
        <v>121</v>
      </c>
      <c r="P31" s="3">
        <f>24+12</f>
        <v>36</v>
      </c>
      <c r="R31" s="3">
        <v>1</v>
      </c>
    </row>
    <row r="32" spans="2:18" ht="12" customHeight="1">
      <c r="B32" s="14" t="s">
        <v>45</v>
      </c>
      <c r="C32" s="3">
        <f t="shared" si="2"/>
        <v>172</v>
      </c>
      <c r="D32" s="3">
        <v>161</v>
      </c>
      <c r="E32" s="3">
        <v>11</v>
      </c>
      <c r="H32" s="3">
        <v>6</v>
      </c>
      <c r="I32" s="3">
        <v>7</v>
      </c>
      <c r="K32" s="3">
        <v>7</v>
      </c>
      <c r="L32" s="3">
        <v>1</v>
      </c>
      <c r="N32" s="19">
        <f t="shared" si="3"/>
        <v>147</v>
      </c>
      <c r="P32" s="3">
        <f>24+1</f>
        <v>25</v>
      </c>
      <c r="R32" s="3">
        <v>2</v>
      </c>
    </row>
    <row r="33" spans="2:16" ht="12" customHeight="1">
      <c r="B33" s="15" t="s">
        <v>182</v>
      </c>
      <c r="C33" s="3">
        <f t="shared" si="2"/>
        <v>2</v>
      </c>
      <c r="D33" s="3">
        <v>1</v>
      </c>
      <c r="E33" s="3">
        <v>1</v>
      </c>
      <c r="N33" s="19">
        <f t="shared" si="3"/>
        <v>1</v>
      </c>
      <c r="P33" s="3">
        <v>1</v>
      </c>
    </row>
    <row r="34" spans="2:18" ht="12" customHeight="1">
      <c r="B34" s="15" t="s">
        <v>25</v>
      </c>
      <c r="C34" s="3">
        <f t="shared" si="2"/>
        <v>80</v>
      </c>
      <c r="D34" s="3">
        <v>25</v>
      </c>
      <c r="E34" s="3">
        <v>55</v>
      </c>
      <c r="H34" s="3">
        <v>4</v>
      </c>
      <c r="I34" s="3">
        <v>4</v>
      </c>
      <c r="K34" s="3">
        <v>7</v>
      </c>
      <c r="L34" s="3">
        <v>2</v>
      </c>
      <c r="N34" s="19">
        <f t="shared" si="3"/>
        <v>60</v>
      </c>
      <c r="P34" s="3">
        <v>20</v>
      </c>
      <c r="R34" s="3">
        <v>3</v>
      </c>
    </row>
    <row r="35" spans="2:16" ht="12" customHeight="1">
      <c r="B35" s="14" t="s">
        <v>183</v>
      </c>
      <c r="C35" s="3">
        <f t="shared" si="2"/>
        <v>6</v>
      </c>
      <c r="D35" s="3">
        <v>0</v>
      </c>
      <c r="E35" s="3">
        <v>6</v>
      </c>
      <c r="N35" s="19">
        <f t="shared" si="3"/>
        <v>5</v>
      </c>
      <c r="P35" s="3">
        <v>1</v>
      </c>
    </row>
    <row r="36" spans="2:18" ht="12" customHeight="1">
      <c r="B36" s="14" t="s">
        <v>26</v>
      </c>
      <c r="C36" s="3">
        <f t="shared" si="2"/>
        <v>1</v>
      </c>
      <c r="D36" s="3">
        <v>0</v>
      </c>
      <c r="E36" s="3">
        <v>1</v>
      </c>
      <c r="N36" s="19">
        <f t="shared" si="3"/>
        <v>0</v>
      </c>
      <c r="P36" s="3">
        <v>1</v>
      </c>
      <c r="R36" s="3">
        <v>1</v>
      </c>
    </row>
    <row r="37" spans="2:16" ht="12" customHeight="1">
      <c r="B37" s="15" t="s">
        <v>184</v>
      </c>
      <c r="C37" s="3">
        <f t="shared" si="2"/>
        <v>2</v>
      </c>
      <c r="D37" s="3">
        <v>0</v>
      </c>
      <c r="E37" s="3">
        <v>2</v>
      </c>
      <c r="N37" s="19">
        <f>(C37-P37)</f>
        <v>2</v>
      </c>
      <c r="P37" s="3">
        <v>0</v>
      </c>
    </row>
    <row r="38" spans="2:16" ht="12" customHeight="1">
      <c r="B38" s="15" t="s">
        <v>140</v>
      </c>
      <c r="C38" s="3">
        <f t="shared" si="2"/>
        <v>21</v>
      </c>
      <c r="D38" s="3">
        <v>6</v>
      </c>
      <c r="E38" s="3">
        <v>15</v>
      </c>
      <c r="H38" s="3">
        <v>3</v>
      </c>
      <c r="K38" s="3">
        <v>1</v>
      </c>
      <c r="N38" s="19">
        <f>(C38-P38)</f>
        <v>15</v>
      </c>
      <c r="P38" s="3">
        <v>6</v>
      </c>
    </row>
    <row r="39" spans="2:16" ht="12.75">
      <c r="B39" s="3" t="s">
        <v>185</v>
      </c>
      <c r="C39" s="3">
        <f t="shared" si="2"/>
        <v>1</v>
      </c>
      <c r="D39" s="3">
        <v>1</v>
      </c>
      <c r="E39" s="3">
        <v>0</v>
      </c>
      <c r="N39" s="19">
        <f>(C39-P39)</f>
        <v>1</v>
      </c>
      <c r="P39" s="3">
        <v>0</v>
      </c>
    </row>
    <row r="41" spans="1:18" ht="12.75">
      <c r="A41" s="9" t="s">
        <v>4</v>
      </c>
      <c r="C41" s="3">
        <f>SUM(C8:C39)</f>
        <v>3082</v>
      </c>
      <c r="D41" s="3">
        <f>SUM(D8:D39)</f>
        <v>1685</v>
      </c>
      <c r="E41" s="3">
        <f>SUM(E8:E39)</f>
        <v>1397</v>
      </c>
      <c r="G41" s="3">
        <f aca="true" t="shared" si="4" ref="G41:L41">SUM(G8:G38)</f>
        <v>6</v>
      </c>
      <c r="H41" s="3">
        <f t="shared" si="4"/>
        <v>41</v>
      </c>
      <c r="I41" s="3">
        <f t="shared" si="4"/>
        <v>35</v>
      </c>
      <c r="J41" s="3">
        <f t="shared" si="4"/>
        <v>1</v>
      </c>
      <c r="K41" s="3">
        <f t="shared" si="4"/>
        <v>81</v>
      </c>
      <c r="L41" s="3">
        <f t="shared" si="4"/>
        <v>17</v>
      </c>
      <c r="N41" s="19">
        <f>SUM(N8:N39)</f>
        <v>2507</v>
      </c>
      <c r="P41" s="3">
        <f>SUM(P8:P39)</f>
        <v>575</v>
      </c>
      <c r="R41" s="3">
        <f>SUM(R8:R38)</f>
        <v>60</v>
      </c>
    </row>
    <row r="45" ht="12.75">
      <c r="A45" s="16"/>
    </row>
    <row r="47" spans="1:19" ht="12.75">
      <c r="A47" s="2" t="s">
        <v>174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2"/>
      <c r="O47" s="2"/>
      <c r="P47" s="2"/>
      <c r="Q47" s="2"/>
      <c r="R47" s="2"/>
      <c r="S47" s="2"/>
    </row>
    <row r="49" spans="7:18" ht="12.75">
      <c r="G49" s="26" t="s">
        <v>1</v>
      </c>
      <c r="H49" s="26"/>
      <c r="I49" s="26"/>
      <c r="J49" s="26"/>
      <c r="K49" s="26"/>
      <c r="L49" s="26"/>
      <c r="P49" s="5" t="s">
        <v>2</v>
      </c>
      <c r="R49" s="5" t="s">
        <v>3</v>
      </c>
    </row>
    <row r="50" spans="1:18" ht="12.75">
      <c r="A50" s="4" t="s">
        <v>28</v>
      </c>
      <c r="C50" s="7" t="s">
        <v>4</v>
      </c>
      <c r="D50" s="7" t="s">
        <v>5</v>
      </c>
      <c r="E50" s="7" t="s">
        <v>6</v>
      </c>
      <c r="F50" s="6"/>
      <c r="G50" s="7" t="s">
        <v>7</v>
      </c>
      <c r="H50" s="7" t="s">
        <v>8</v>
      </c>
      <c r="I50" s="7" t="s">
        <v>9</v>
      </c>
      <c r="J50" s="7">
        <v>5</v>
      </c>
      <c r="K50" s="7">
        <v>6</v>
      </c>
      <c r="L50" s="7">
        <v>7</v>
      </c>
      <c r="M50" s="6"/>
      <c r="N50" s="21" t="s">
        <v>10</v>
      </c>
      <c r="O50" s="6"/>
      <c r="P50" s="8" t="s">
        <v>11</v>
      </c>
      <c r="Q50" s="6"/>
      <c r="R50" s="8" t="s">
        <v>12</v>
      </c>
    </row>
    <row r="51" spans="2:18" ht="12.75">
      <c r="B51" s="14" t="s">
        <v>162</v>
      </c>
      <c r="C51" s="3">
        <f aca="true" t="shared" si="5" ref="C51:C61">D51+E51</f>
        <v>19</v>
      </c>
      <c r="D51" s="3">
        <v>11</v>
      </c>
      <c r="E51" s="3">
        <v>8</v>
      </c>
      <c r="I51" s="3">
        <v>1</v>
      </c>
      <c r="N51" s="19">
        <f aca="true" t="shared" si="6" ref="N51:N61">(C51-P51)</f>
        <v>6</v>
      </c>
      <c r="P51" s="3">
        <v>13</v>
      </c>
      <c r="R51" s="3">
        <v>13</v>
      </c>
    </row>
    <row r="52" spans="2:18" ht="12.75">
      <c r="B52" s="14" t="s">
        <v>29</v>
      </c>
      <c r="C52" s="3">
        <f t="shared" si="5"/>
        <v>35</v>
      </c>
      <c r="D52" s="3">
        <v>21</v>
      </c>
      <c r="E52" s="3">
        <v>14</v>
      </c>
      <c r="K52" s="3">
        <v>2</v>
      </c>
      <c r="N52" s="19">
        <f t="shared" si="6"/>
        <v>27</v>
      </c>
      <c r="P52" s="3">
        <v>8</v>
      </c>
      <c r="R52" s="3">
        <v>2</v>
      </c>
    </row>
    <row r="53" spans="2:18" ht="12.75">
      <c r="B53" s="14" t="s">
        <v>30</v>
      </c>
      <c r="C53" s="3">
        <f t="shared" si="5"/>
        <v>393</v>
      </c>
      <c r="D53" s="3">
        <v>198</v>
      </c>
      <c r="E53" s="3">
        <v>195</v>
      </c>
      <c r="H53" s="3">
        <v>9</v>
      </c>
      <c r="I53" s="3">
        <f>9+12</f>
        <v>21</v>
      </c>
      <c r="K53" s="3">
        <v>9</v>
      </c>
      <c r="L53" s="3">
        <v>1</v>
      </c>
      <c r="N53" s="19">
        <f t="shared" si="6"/>
        <v>305</v>
      </c>
      <c r="P53" s="3">
        <f>35+53</f>
        <v>88</v>
      </c>
      <c r="R53" s="3">
        <v>39</v>
      </c>
    </row>
    <row r="54" spans="2:18" ht="12.75">
      <c r="B54" s="14" t="s">
        <v>169</v>
      </c>
      <c r="C54" s="3">
        <f>D54+E54</f>
        <v>11</v>
      </c>
      <c r="D54" s="3">
        <v>7</v>
      </c>
      <c r="E54" s="3">
        <v>4</v>
      </c>
      <c r="H54" s="3">
        <v>1</v>
      </c>
      <c r="N54" s="19">
        <f>(C54-P54)</f>
        <v>9</v>
      </c>
      <c r="P54" s="3">
        <v>2</v>
      </c>
      <c r="R54" s="3">
        <v>1</v>
      </c>
    </row>
    <row r="55" spans="2:18" ht="12.75">
      <c r="B55" s="14" t="s">
        <v>31</v>
      </c>
      <c r="C55" s="3">
        <f t="shared" si="5"/>
        <v>373</v>
      </c>
      <c r="D55" s="3">
        <v>270</v>
      </c>
      <c r="E55" s="3">
        <v>103</v>
      </c>
      <c r="G55" s="3">
        <v>2</v>
      </c>
      <c r="H55" s="3">
        <v>9</v>
      </c>
      <c r="I55" s="3">
        <v>19</v>
      </c>
      <c r="K55" s="3">
        <v>6</v>
      </c>
      <c r="L55" s="3">
        <v>1</v>
      </c>
      <c r="N55" s="19">
        <f t="shared" si="6"/>
        <v>259</v>
      </c>
      <c r="P55" s="3">
        <f>77+37</f>
        <v>114</v>
      </c>
      <c r="R55" s="3">
        <f>25+22</f>
        <v>47</v>
      </c>
    </row>
    <row r="56" spans="2:18" ht="12.75">
      <c r="B56" s="14" t="s">
        <v>141</v>
      </c>
      <c r="C56" s="3">
        <f t="shared" si="5"/>
        <v>116</v>
      </c>
      <c r="D56" s="3">
        <v>95</v>
      </c>
      <c r="E56" s="3">
        <v>21</v>
      </c>
      <c r="H56" s="3">
        <v>1</v>
      </c>
      <c r="I56" s="3">
        <v>4</v>
      </c>
      <c r="K56" s="3">
        <v>6</v>
      </c>
      <c r="N56" s="19">
        <f t="shared" si="6"/>
        <v>89</v>
      </c>
      <c r="P56" s="3">
        <v>27</v>
      </c>
      <c r="R56" s="3">
        <v>6</v>
      </c>
    </row>
    <row r="57" spans="2:18" ht="12.75">
      <c r="B57" s="14" t="s">
        <v>32</v>
      </c>
      <c r="C57" s="3">
        <f t="shared" si="5"/>
        <v>249</v>
      </c>
      <c r="D57" s="3">
        <v>162</v>
      </c>
      <c r="E57" s="3">
        <v>87</v>
      </c>
      <c r="G57" s="3">
        <v>1</v>
      </c>
      <c r="H57" s="3">
        <v>6</v>
      </c>
      <c r="I57" s="3">
        <v>7</v>
      </c>
      <c r="K57" s="3">
        <v>2</v>
      </c>
      <c r="L57" s="3">
        <v>2</v>
      </c>
      <c r="N57" s="19">
        <f t="shared" si="6"/>
        <v>216</v>
      </c>
      <c r="P57" s="3">
        <f>19+14</f>
        <v>33</v>
      </c>
      <c r="R57" s="3">
        <v>8</v>
      </c>
    </row>
    <row r="58" spans="2:18" ht="12.75">
      <c r="B58" s="14" t="s">
        <v>142</v>
      </c>
      <c r="C58" s="3">
        <f t="shared" si="5"/>
        <v>211</v>
      </c>
      <c r="D58" s="3">
        <v>183</v>
      </c>
      <c r="E58" s="3">
        <v>28</v>
      </c>
      <c r="H58" s="3">
        <v>6</v>
      </c>
      <c r="I58" s="3">
        <v>17</v>
      </c>
      <c r="K58" s="3">
        <v>5</v>
      </c>
      <c r="L58" s="3">
        <v>1</v>
      </c>
      <c r="N58" s="19">
        <f t="shared" si="6"/>
        <v>172</v>
      </c>
      <c r="P58" s="3">
        <f>33+6</f>
        <v>39</v>
      </c>
      <c r="R58" s="3">
        <v>10</v>
      </c>
    </row>
    <row r="59" spans="2:18" ht="12.75">
      <c r="B59" s="14" t="s">
        <v>33</v>
      </c>
      <c r="C59" s="3">
        <f t="shared" si="5"/>
        <v>386</v>
      </c>
      <c r="D59" s="3">
        <v>178</v>
      </c>
      <c r="E59" s="3">
        <v>208</v>
      </c>
      <c r="H59" s="3">
        <v>3</v>
      </c>
      <c r="I59" s="3">
        <v>13</v>
      </c>
      <c r="K59" s="3">
        <v>9</v>
      </c>
      <c r="L59" s="3">
        <v>2</v>
      </c>
      <c r="N59" s="19">
        <f t="shared" si="6"/>
        <v>296</v>
      </c>
      <c r="P59" s="3">
        <f>31+59</f>
        <v>90</v>
      </c>
      <c r="R59" s="3">
        <v>14</v>
      </c>
    </row>
    <row r="60" spans="2:18" ht="12.75">
      <c r="B60" s="14" t="s">
        <v>143</v>
      </c>
      <c r="C60" s="3">
        <f t="shared" si="5"/>
        <v>60</v>
      </c>
      <c r="D60" s="3">
        <v>36</v>
      </c>
      <c r="E60" s="3">
        <v>24</v>
      </c>
      <c r="H60" s="3">
        <v>3</v>
      </c>
      <c r="I60" s="3">
        <v>1</v>
      </c>
      <c r="K60" s="3">
        <v>2</v>
      </c>
      <c r="N60" s="19">
        <f t="shared" si="6"/>
        <v>45</v>
      </c>
      <c r="P60" s="3">
        <f>5+10</f>
        <v>15</v>
      </c>
      <c r="R60" s="3">
        <v>3</v>
      </c>
    </row>
    <row r="61" spans="2:18" ht="12.75">
      <c r="B61" s="14" t="s">
        <v>34</v>
      </c>
      <c r="C61" s="3">
        <f t="shared" si="5"/>
        <v>1617</v>
      </c>
      <c r="D61" s="3">
        <v>1043</v>
      </c>
      <c r="E61" s="3">
        <v>574</v>
      </c>
      <c r="G61" s="3">
        <v>3</v>
      </c>
      <c r="H61" s="3">
        <f>28+14</f>
        <v>42</v>
      </c>
      <c r="I61" s="3">
        <f>37+18</f>
        <v>55</v>
      </c>
      <c r="J61" s="3">
        <v>1</v>
      </c>
      <c r="K61" s="3">
        <f>28+19</f>
        <v>47</v>
      </c>
      <c r="L61" s="3">
        <v>7</v>
      </c>
      <c r="N61" s="19">
        <f t="shared" si="6"/>
        <v>1075</v>
      </c>
      <c r="P61" s="3">
        <f>329+213</f>
        <v>542</v>
      </c>
      <c r="R61" s="3">
        <f>153+119</f>
        <v>272</v>
      </c>
    </row>
    <row r="63" spans="1:18" ht="12.75">
      <c r="A63" s="9" t="s">
        <v>4</v>
      </c>
      <c r="C63" s="3">
        <f>SUM(C50:C61)</f>
        <v>3470</v>
      </c>
      <c r="D63" s="3">
        <f>SUM(D50:D61)</f>
        <v>2204</v>
      </c>
      <c r="E63" s="3">
        <f>SUM(E50:E61)</f>
        <v>1266</v>
      </c>
      <c r="G63" s="3">
        <f aca="true" t="shared" si="7" ref="G63:L63">SUM(G51:G61)</f>
        <v>6</v>
      </c>
      <c r="H63" s="3">
        <f t="shared" si="7"/>
        <v>80</v>
      </c>
      <c r="I63" s="3">
        <f t="shared" si="7"/>
        <v>138</v>
      </c>
      <c r="J63" s="3">
        <f t="shared" si="7"/>
        <v>1</v>
      </c>
      <c r="K63" s="3">
        <f t="shared" si="7"/>
        <v>88</v>
      </c>
      <c r="L63" s="3">
        <f t="shared" si="7"/>
        <v>14</v>
      </c>
      <c r="N63" s="19">
        <f>SUM(N50:N61)</f>
        <v>2499</v>
      </c>
      <c r="P63" s="3">
        <f>SUM(P50:P61)</f>
        <v>971</v>
      </c>
      <c r="R63" s="3">
        <f>SUM(R50:R61)</f>
        <v>415</v>
      </c>
    </row>
    <row r="67" spans="7:18" ht="12.75">
      <c r="G67" s="26" t="s">
        <v>1</v>
      </c>
      <c r="H67" s="26"/>
      <c r="I67" s="26"/>
      <c r="J67" s="26"/>
      <c r="K67" s="26"/>
      <c r="L67" s="26"/>
      <c r="P67" s="5" t="s">
        <v>2</v>
      </c>
      <c r="R67" s="5" t="s">
        <v>3</v>
      </c>
    </row>
    <row r="68" spans="1:18" ht="12.75">
      <c r="A68" s="4" t="s">
        <v>35</v>
      </c>
      <c r="B68" s="6"/>
      <c r="C68" s="7" t="s">
        <v>4</v>
      </c>
      <c r="D68" s="7" t="s">
        <v>5</v>
      </c>
      <c r="E68" s="7" t="s">
        <v>6</v>
      </c>
      <c r="F68" s="6"/>
      <c r="G68" s="7" t="s">
        <v>7</v>
      </c>
      <c r="H68" s="7" t="s">
        <v>8</v>
      </c>
      <c r="I68" s="7" t="s">
        <v>9</v>
      </c>
      <c r="J68" s="7">
        <v>5</v>
      </c>
      <c r="K68" s="7">
        <v>6</v>
      </c>
      <c r="L68" s="7">
        <v>7</v>
      </c>
      <c r="M68" s="6"/>
      <c r="N68" s="21" t="s">
        <v>10</v>
      </c>
      <c r="O68" s="6"/>
      <c r="P68" s="8" t="s">
        <v>11</v>
      </c>
      <c r="Q68" s="6"/>
      <c r="R68" s="8" t="s">
        <v>12</v>
      </c>
    </row>
    <row r="69" spans="2:18" ht="12" customHeight="1">
      <c r="B69" s="14" t="s">
        <v>163</v>
      </c>
      <c r="C69" s="3">
        <f aca="true" t="shared" si="8" ref="C69:C82">D69+E69</f>
        <v>8</v>
      </c>
      <c r="D69" s="3">
        <v>2</v>
      </c>
      <c r="E69" s="3">
        <v>6</v>
      </c>
      <c r="I69" s="3">
        <v>1</v>
      </c>
      <c r="N69" s="19">
        <f aca="true" t="shared" si="9" ref="N69:N82">(C69-P69)</f>
        <v>6</v>
      </c>
      <c r="P69" s="3">
        <v>2</v>
      </c>
      <c r="R69" s="3">
        <v>1</v>
      </c>
    </row>
    <row r="70" spans="2:18" ht="12" customHeight="1">
      <c r="B70" s="14" t="s">
        <v>36</v>
      </c>
      <c r="C70" s="3">
        <f t="shared" si="8"/>
        <v>56</v>
      </c>
      <c r="D70" s="3">
        <v>18</v>
      </c>
      <c r="E70" s="3">
        <v>38</v>
      </c>
      <c r="I70" s="3">
        <v>1</v>
      </c>
      <c r="K70" s="3">
        <v>2</v>
      </c>
      <c r="N70" s="19">
        <f t="shared" si="9"/>
        <v>46</v>
      </c>
      <c r="P70" s="3">
        <v>10</v>
      </c>
      <c r="R70" s="3">
        <v>2</v>
      </c>
    </row>
    <row r="71" spans="2:18" ht="12" customHeight="1">
      <c r="B71" s="14" t="s">
        <v>144</v>
      </c>
      <c r="C71" s="3">
        <f t="shared" si="8"/>
        <v>282</v>
      </c>
      <c r="D71" s="3">
        <v>177</v>
      </c>
      <c r="E71" s="3">
        <v>105</v>
      </c>
      <c r="H71" s="3">
        <v>2</v>
      </c>
      <c r="I71" s="3">
        <v>13</v>
      </c>
      <c r="K71" s="3">
        <v>11</v>
      </c>
      <c r="L71" s="3">
        <v>4</v>
      </c>
      <c r="N71" s="19">
        <f t="shared" si="9"/>
        <v>171</v>
      </c>
      <c r="P71" s="3">
        <f>60+51</f>
        <v>111</v>
      </c>
      <c r="R71" s="3">
        <v>17</v>
      </c>
    </row>
    <row r="72" spans="2:18" ht="12" customHeight="1">
      <c r="B72" s="14" t="s">
        <v>37</v>
      </c>
      <c r="C72" s="3">
        <f t="shared" si="8"/>
        <v>273</v>
      </c>
      <c r="D72" s="3">
        <v>80</v>
      </c>
      <c r="E72" s="3">
        <v>193</v>
      </c>
      <c r="H72" s="3">
        <v>6</v>
      </c>
      <c r="I72" s="3">
        <v>13</v>
      </c>
      <c r="K72" s="3">
        <v>10</v>
      </c>
      <c r="L72" s="3">
        <v>2</v>
      </c>
      <c r="N72" s="19">
        <f t="shared" si="9"/>
        <v>202</v>
      </c>
      <c r="P72" s="3">
        <f>10+61</f>
        <v>71</v>
      </c>
      <c r="R72" s="3">
        <v>7</v>
      </c>
    </row>
    <row r="73" spans="2:16" ht="12" customHeight="1">
      <c r="B73" s="14" t="s">
        <v>145</v>
      </c>
      <c r="C73" s="3">
        <f t="shared" si="8"/>
        <v>55</v>
      </c>
      <c r="D73" s="3">
        <v>18</v>
      </c>
      <c r="E73" s="3">
        <v>37</v>
      </c>
      <c r="H73" s="3">
        <v>2</v>
      </c>
      <c r="I73" s="3">
        <v>2</v>
      </c>
      <c r="K73" s="3">
        <v>5</v>
      </c>
      <c r="N73" s="19">
        <f t="shared" si="9"/>
        <v>46</v>
      </c>
      <c r="P73" s="3">
        <v>9</v>
      </c>
    </row>
    <row r="74" spans="2:16" ht="12" customHeight="1">
      <c r="B74" s="14" t="s">
        <v>146</v>
      </c>
      <c r="C74" s="3">
        <f t="shared" si="8"/>
        <v>3</v>
      </c>
      <c r="D74" s="3">
        <v>2</v>
      </c>
      <c r="E74" s="3">
        <v>1</v>
      </c>
      <c r="N74" s="19">
        <f t="shared" si="9"/>
        <v>3</v>
      </c>
      <c r="P74" s="3">
        <v>0</v>
      </c>
    </row>
    <row r="75" spans="2:18" ht="12" customHeight="1">
      <c r="B75" s="14" t="s">
        <v>147</v>
      </c>
      <c r="C75" s="3">
        <f t="shared" si="8"/>
        <v>97</v>
      </c>
      <c r="D75" s="3">
        <v>70</v>
      </c>
      <c r="E75" s="3">
        <v>27</v>
      </c>
      <c r="H75" s="3">
        <v>7</v>
      </c>
      <c r="I75" s="3">
        <v>1</v>
      </c>
      <c r="K75" s="3">
        <v>5</v>
      </c>
      <c r="N75" s="19">
        <f t="shared" si="9"/>
        <v>62</v>
      </c>
      <c r="P75" s="3">
        <f>22+13</f>
        <v>35</v>
      </c>
      <c r="R75" s="3">
        <v>8</v>
      </c>
    </row>
    <row r="76" spans="2:18" ht="12" customHeight="1">
      <c r="B76" s="14" t="s">
        <v>39</v>
      </c>
      <c r="C76" s="3">
        <f t="shared" si="8"/>
        <v>201</v>
      </c>
      <c r="D76" s="3">
        <v>59</v>
      </c>
      <c r="E76" s="3">
        <v>142</v>
      </c>
      <c r="H76" s="3">
        <v>4</v>
      </c>
      <c r="I76" s="3">
        <v>14</v>
      </c>
      <c r="K76" s="3">
        <v>7</v>
      </c>
      <c r="N76" s="19">
        <f t="shared" si="9"/>
        <v>157</v>
      </c>
      <c r="P76" s="3">
        <f>10+34</f>
        <v>44</v>
      </c>
      <c r="R76" s="3">
        <v>4</v>
      </c>
    </row>
    <row r="77" spans="2:18" ht="12" customHeight="1">
      <c r="B77" s="14" t="s">
        <v>170</v>
      </c>
      <c r="C77" s="3">
        <f>D77+E77</f>
        <v>174</v>
      </c>
      <c r="D77" s="3">
        <v>90</v>
      </c>
      <c r="E77" s="3">
        <v>84</v>
      </c>
      <c r="G77" s="3">
        <v>1</v>
      </c>
      <c r="H77" s="3">
        <v>3</v>
      </c>
      <c r="I77" s="3">
        <v>7</v>
      </c>
      <c r="K77" s="3">
        <v>11</v>
      </c>
      <c r="L77" s="3">
        <v>1</v>
      </c>
      <c r="N77" s="19">
        <f>(C77-P77)</f>
        <v>138</v>
      </c>
      <c r="P77" s="3">
        <f>19+17</f>
        <v>36</v>
      </c>
      <c r="R77" s="3">
        <v>6</v>
      </c>
    </row>
    <row r="78" spans="2:18" ht="12" customHeight="1">
      <c r="B78" s="14" t="s">
        <v>40</v>
      </c>
      <c r="C78" s="3">
        <f t="shared" si="8"/>
        <v>130</v>
      </c>
      <c r="D78" s="3">
        <v>14</v>
      </c>
      <c r="E78" s="3">
        <v>116</v>
      </c>
      <c r="H78" s="3">
        <v>2</v>
      </c>
      <c r="I78" s="3">
        <v>3</v>
      </c>
      <c r="K78" s="3">
        <v>4</v>
      </c>
      <c r="N78" s="19">
        <f t="shared" si="9"/>
        <v>85</v>
      </c>
      <c r="P78" s="3">
        <f>7+38</f>
        <v>45</v>
      </c>
      <c r="R78" s="3">
        <v>7</v>
      </c>
    </row>
    <row r="79" spans="2:18" ht="12" customHeight="1">
      <c r="B79" s="14" t="s">
        <v>41</v>
      </c>
      <c r="C79" s="3">
        <f t="shared" si="8"/>
        <v>136</v>
      </c>
      <c r="D79" s="3">
        <v>89</v>
      </c>
      <c r="E79" s="3">
        <v>47</v>
      </c>
      <c r="I79" s="3">
        <v>2</v>
      </c>
      <c r="K79" s="3">
        <v>5</v>
      </c>
      <c r="N79" s="19">
        <f t="shared" si="9"/>
        <v>90</v>
      </c>
      <c r="P79" s="3">
        <f>23+23</f>
        <v>46</v>
      </c>
      <c r="R79" s="3">
        <v>12</v>
      </c>
    </row>
    <row r="80" spans="2:18" ht="12" customHeight="1">
      <c r="B80" s="14" t="s">
        <v>42</v>
      </c>
      <c r="C80" s="3">
        <f t="shared" si="8"/>
        <v>299</v>
      </c>
      <c r="D80" s="3">
        <v>195</v>
      </c>
      <c r="E80" s="3">
        <v>104</v>
      </c>
      <c r="G80" s="3">
        <v>1</v>
      </c>
      <c r="H80" s="3">
        <v>9</v>
      </c>
      <c r="I80" s="3">
        <v>6</v>
      </c>
      <c r="J80" s="3">
        <v>2</v>
      </c>
      <c r="K80" s="3">
        <v>19</v>
      </c>
      <c r="L80" s="3">
        <v>3</v>
      </c>
      <c r="N80" s="19">
        <f t="shared" si="9"/>
        <v>158</v>
      </c>
      <c r="P80" s="3">
        <f>88+53</f>
        <v>141</v>
      </c>
      <c r="R80" s="3">
        <v>28</v>
      </c>
    </row>
    <row r="81" spans="2:16" ht="12" customHeight="1">
      <c r="B81" s="14" t="s">
        <v>186</v>
      </c>
      <c r="C81" s="3">
        <f t="shared" si="8"/>
        <v>10</v>
      </c>
      <c r="D81" s="3">
        <v>6</v>
      </c>
      <c r="E81" s="3">
        <v>4</v>
      </c>
      <c r="H81" s="3">
        <v>1</v>
      </c>
      <c r="N81" s="19">
        <f t="shared" si="9"/>
        <v>8</v>
      </c>
      <c r="P81" s="3">
        <v>2</v>
      </c>
    </row>
    <row r="82" spans="2:18" ht="12.75">
      <c r="B82" s="3" t="s">
        <v>43</v>
      </c>
      <c r="C82" s="3">
        <f t="shared" si="8"/>
        <v>38</v>
      </c>
      <c r="D82" s="3">
        <v>27</v>
      </c>
      <c r="E82" s="3">
        <v>11</v>
      </c>
      <c r="K82" s="3">
        <v>2</v>
      </c>
      <c r="N82" s="19">
        <f t="shared" si="9"/>
        <v>22</v>
      </c>
      <c r="P82" s="3">
        <v>16</v>
      </c>
      <c r="R82" s="3">
        <v>4</v>
      </c>
    </row>
    <row r="84" spans="1:18" ht="12.75">
      <c r="A84" s="9" t="s">
        <v>4</v>
      </c>
      <c r="C84" s="3">
        <f>SUM(C69:C82)</f>
        <v>1762</v>
      </c>
      <c r="D84" s="3">
        <f>SUM(D69:D82)</f>
        <v>847</v>
      </c>
      <c r="E84" s="3">
        <f>SUM(E69:E82)</f>
        <v>915</v>
      </c>
      <c r="G84" s="3">
        <f aca="true" t="shared" si="10" ref="G84:L84">SUM(G69:G82)</f>
        <v>2</v>
      </c>
      <c r="H84" s="3">
        <f t="shared" si="10"/>
        <v>36</v>
      </c>
      <c r="I84" s="3">
        <f t="shared" si="10"/>
        <v>63</v>
      </c>
      <c r="J84" s="3">
        <f t="shared" si="10"/>
        <v>2</v>
      </c>
      <c r="K84" s="3">
        <f t="shared" si="10"/>
        <v>81</v>
      </c>
      <c r="L84" s="3">
        <f t="shared" si="10"/>
        <v>10</v>
      </c>
      <c r="N84" s="3">
        <f>SUM(N69:N82)</f>
        <v>1194</v>
      </c>
      <c r="P84" s="3">
        <f>SUM(P69:P82)</f>
        <v>568</v>
      </c>
      <c r="R84" s="3">
        <f>SUM(R69:R82)</f>
        <v>96</v>
      </c>
    </row>
    <row r="88" spans="1:19" ht="12.75">
      <c r="A88" s="2" t="s">
        <v>174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2"/>
      <c r="O88" s="2"/>
      <c r="P88" s="2"/>
      <c r="Q88" s="2"/>
      <c r="R88" s="2"/>
      <c r="S88" s="2"/>
    </row>
    <row r="90" spans="7:18" ht="12.75">
      <c r="G90" s="26" t="s">
        <v>1</v>
      </c>
      <c r="H90" s="26"/>
      <c r="I90" s="26"/>
      <c r="J90" s="26"/>
      <c r="K90" s="26"/>
      <c r="L90" s="26"/>
      <c r="P90" s="5" t="s">
        <v>2</v>
      </c>
      <c r="R90" s="5" t="s">
        <v>3</v>
      </c>
    </row>
    <row r="91" spans="1:18" ht="12.75">
      <c r="A91" s="4" t="s">
        <v>46</v>
      </c>
      <c r="B91" s="6"/>
      <c r="C91" s="7" t="s">
        <v>4</v>
      </c>
      <c r="D91" s="7" t="s">
        <v>5</v>
      </c>
      <c r="E91" s="7" t="s">
        <v>6</v>
      </c>
      <c r="F91" s="6"/>
      <c r="G91" s="7" t="s">
        <v>7</v>
      </c>
      <c r="H91" s="7" t="s">
        <v>8</v>
      </c>
      <c r="I91" s="7" t="s">
        <v>9</v>
      </c>
      <c r="J91" s="7">
        <v>5</v>
      </c>
      <c r="K91" s="7">
        <v>6</v>
      </c>
      <c r="L91" s="7">
        <v>7</v>
      </c>
      <c r="M91" s="6"/>
      <c r="N91" s="21" t="s">
        <v>10</v>
      </c>
      <c r="O91" s="6"/>
      <c r="P91" s="8" t="s">
        <v>11</v>
      </c>
      <c r="Q91" s="6"/>
      <c r="R91" s="8" t="s">
        <v>12</v>
      </c>
    </row>
    <row r="92" spans="2:18" ht="12" customHeight="1">
      <c r="B92" s="9" t="s">
        <v>164</v>
      </c>
      <c r="C92" s="3">
        <f aca="true" t="shared" si="11" ref="C92:C103">D92+E92</f>
        <v>33</v>
      </c>
      <c r="D92" s="3">
        <v>26</v>
      </c>
      <c r="E92" s="3">
        <v>7</v>
      </c>
      <c r="H92" s="3">
        <v>1</v>
      </c>
      <c r="I92" s="3">
        <v>2</v>
      </c>
      <c r="K92" s="3">
        <v>1</v>
      </c>
      <c r="N92" s="19">
        <f aca="true" t="shared" si="12" ref="N92:N103">(C92-P92)</f>
        <v>2</v>
      </c>
      <c r="P92" s="3">
        <f>25+6</f>
        <v>31</v>
      </c>
      <c r="R92" s="3">
        <f>16+5</f>
        <v>21</v>
      </c>
    </row>
    <row r="93" spans="2:18" ht="12" customHeight="1">
      <c r="B93" s="9" t="s">
        <v>96</v>
      </c>
      <c r="C93" s="3">
        <f t="shared" si="11"/>
        <v>418</v>
      </c>
      <c r="D93" s="3">
        <v>329</v>
      </c>
      <c r="E93" s="3">
        <v>89</v>
      </c>
      <c r="G93" s="3">
        <v>1</v>
      </c>
      <c r="H93" s="3">
        <v>5</v>
      </c>
      <c r="I93" s="3">
        <v>9</v>
      </c>
      <c r="K93" s="3">
        <v>11</v>
      </c>
      <c r="L93" s="3">
        <v>5</v>
      </c>
      <c r="N93" s="19">
        <f t="shared" si="12"/>
        <v>251</v>
      </c>
      <c r="P93" s="3">
        <f>134+33</f>
        <v>167</v>
      </c>
      <c r="R93" s="3">
        <f>13+2</f>
        <v>15</v>
      </c>
    </row>
    <row r="94" spans="2:18" ht="12" customHeight="1">
      <c r="B94" s="9" t="s">
        <v>47</v>
      </c>
      <c r="C94" s="3">
        <f t="shared" si="11"/>
        <v>573</v>
      </c>
      <c r="D94" s="3">
        <v>510</v>
      </c>
      <c r="E94" s="3">
        <v>63</v>
      </c>
      <c r="G94" s="3">
        <v>1</v>
      </c>
      <c r="H94" s="3">
        <v>16</v>
      </c>
      <c r="I94" s="3">
        <v>21</v>
      </c>
      <c r="K94" s="3">
        <f>17+8</f>
        <v>25</v>
      </c>
      <c r="L94" s="3">
        <v>1</v>
      </c>
      <c r="N94" s="19">
        <f t="shared" si="12"/>
        <v>289</v>
      </c>
      <c r="P94" s="3">
        <f>249+35</f>
        <v>284</v>
      </c>
      <c r="R94" s="3">
        <v>19</v>
      </c>
    </row>
    <row r="95" spans="2:18" ht="12" customHeight="1">
      <c r="B95" s="9" t="s">
        <v>48</v>
      </c>
      <c r="C95" s="3">
        <f t="shared" si="11"/>
        <v>188</v>
      </c>
      <c r="D95" s="3">
        <v>166</v>
      </c>
      <c r="E95" s="3">
        <v>22</v>
      </c>
      <c r="H95" s="3">
        <v>2</v>
      </c>
      <c r="I95" s="3">
        <v>1</v>
      </c>
      <c r="K95" s="3">
        <v>1</v>
      </c>
      <c r="N95" s="19">
        <f t="shared" si="12"/>
        <v>158</v>
      </c>
      <c r="P95" s="3">
        <f>24+6</f>
        <v>30</v>
      </c>
      <c r="R95" s="3">
        <v>1</v>
      </c>
    </row>
    <row r="96" spans="2:18" ht="12" customHeight="1">
      <c r="B96" s="9" t="s">
        <v>187</v>
      </c>
      <c r="C96" s="3">
        <f t="shared" si="11"/>
        <v>14</v>
      </c>
      <c r="D96" s="3">
        <v>7</v>
      </c>
      <c r="E96" s="3">
        <v>7</v>
      </c>
      <c r="H96" s="3">
        <v>1</v>
      </c>
      <c r="I96" s="3">
        <v>2</v>
      </c>
      <c r="K96" s="3">
        <v>1</v>
      </c>
      <c r="N96" s="19">
        <f t="shared" si="12"/>
        <v>11</v>
      </c>
      <c r="P96" s="3">
        <v>3</v>
      </c>
      <c r="R96" s="3">
        <v>1</v>
      </c>
    </row>
    <row r="97" spans="2:18" ht="12" customHeight="1">
      <c r="B97" s="9" t="s">
        <v>49</v>
      </c>
      <c r="C97" s="3">
        <f t="shared" si="11"/>
        <v>433</v>
      </c>
      <c r="D97" s="3">
        <v>274</v>
      </c>
      <c r="E97" s="3">
        <v>159</v>
      </c>
      <c r="H97" s="3">
        <v>9</v>
      </c>
      <c r="I97" s="3">
        <v>18</v>
      </c>
      <c r="K97" s="3">
        <v>12</v>
      </c>
      <c r="L97" s="3">
        <v>4</v>
      </c>
      <c r="N97" s="19">
        <f t="shared" si="12"/>
        <v>246</v>
      </c>
      <c r="P97" s="3">
        <f>118+69</f>
        <v>187</v>
      </c>
      <c r="R97" s="3">
        <f>25+9</f>
        <v>34</v>
      </c>
    </row>
    <row r="98" spans="2:18" ht="12" customHeight="1">
      <c r="B98" s="9" t="s">
        <v>50</v>
      </c>
      <c r="C98" s="3">
        <f t="shared" si="11"/>
        <v>592</v>
      </c>
      <c r="D98" s="3">
        <v>486</v>
      </c>
      <c r="E98" s="3">
        <v>106</v>
      </c>
      <c r="G98" s="3">
        <v>1</v>
      </c>
      <c r="H98" s="3">
        <v>13</v>
      </c>
      <c r="I98" s="3">
        <v>5</v>
      </c>
      <c r="K98" s="3">
        <v>18</v>
      </c>
      <c r="L98" s="3">
        <v>5</v>
      </c>
      <c r="N98" s="19">
        <f t="shared" si="12"/>
        <v>349</v>
      </c>
      <c r="P98" s="3">
        <f>186+57</f>
        <v>243</v>
      </c>
      <c r="R98" s="3">
        <f>58+17</f>
        <v>75</v>
      </c>
    </row>
    <row r="99" spans="2:18" ht="12" customHeight="1">
      <c r="B99" s="9" t="s">
        <v>51</v>
      </c>
      <c r="C99" s="3">
        <f t="shared" si="11"/>
        <v>424</v>
      </c>
      <c r="D99" s="3">
        <v>396</v>
      </c>
      <c r="E99" s="3">
        <v>28</v>
      </c>
      <c r="G99" s="3">
        <v>1</v>
      </c>
      <c r="H99" s="3">
        <v>12</v>
      </c>
      <c r="I99" s="3">
        <v>23</v>
      </c>
      <c r="K99" s="3">
        <v>9</v>
      </c>
      <c r="L99" s="3">
        <v>2</v>
      </c>
      <c r="N99" s="19">
        <f t="shared" si="12"/>
        <v>285</v>
      </c>
      <c r="P99" s="3">
        <f>129+10</f>
        <v>139</v>
      </c>
      <c r="R99" s="3">
        <f>24+5</f>
        <v>29</v>
      </c>
    </row>
    <row r="100" spans="2:18" ht="12" customHeight="1">
      <c r="B100" s="9" t="s">
        <v>52</v>
      </c>
      <c r="C100" s="3">
        <f t="shared" si="11"/>
        <v>392</v>
      </c>
      <c r="D100" s="3">
        <v>346</v>
      </c>
      <c r="E100" s="3">
        <v>46</v>
      </c>
      <c r="G100" s="3">
        <v>1</v>
      </c>
      <c r="H100" s="3">
        <v>4</v>
      </c>
      <c r="I100" s="3">
        <v>7</v>
      </c>
      <c r="K100" s="3">
        <v>5</v>
      </c>
      <c r="L100" s="3">
        <v>2</v>
      </c>
      <c r="N100" s="19">
        <f t="shared" si="12"/>
        <v>292</v>
      </c>
      <c r="P100" s="3">
        <f>84+16</f>
        <v>100</v>
      </c>
      <c r="R100" s="3">
        <v>5</v>
      </c>
    </row>
    <row r="101" spans="2:18" ht="12" customHeight="1">
      <c r="B101" s="9" t="s">
        <v>53</v>
      </c>
      <c r="C101" s="3">
        <f t="shared" si="11"/>
        <v>402</v>
      </c>
      <c r="D101" s="3">
        <v>368</v>
      </c>
      <c r="E101" s="3">
        <v>34</v>
      </c>
      <c r="H101" s="3">
        <v>20</v>
      </c>
      <c r="I101" s="3">
        <v>26</v>
      </c>
      <c r="K101" s="3">
        <v>10</v>
      </c>
      <c r="L101" s="3">
        <v>1</v>
      </c>
      <c r="N101" s="19">
        <f t="shared" si="12"/>
        <v>226</v>
      </c>
      <c r="P101" s="3">
        <f>155+21</f>
        <v>176</v>
      </c>
      <c r="R101" s="3">
        <f>67+11</f>
        <v>78</v>
      </c>
    </row>
    <row r="102" spans="2:18" ht="12" customHeight="1">
      <c r="B102" s="9" t="s">
        <v>54</v>
      </c>
      <c r="C102" s="3">
        <f t="shared" si="11"/>
        <v>220</v>
      </c>
      <c r="D102" s="3">
        <v>158</v>
      </c>
      <c r="E102" s="3">
        <v>62</v>
      </c>
      <c r="G102" s="3">
        <v>2</v>
      </c>
      <c r="H102" s="3">
        <v>7</v>
      </c>
      <c r="I102" s="3">
        <v>9</v>
      </c>
      <c r="K102" s="3">
        <v>7</v>
      </c>
      <c r="L102" s="3">
        <v>2</v>
      </c>
      <c r="N102" s="19">
        <f t="shared" si="12"/>
        <v>132</v>
      </c>
      <c r="P102" s="3">
        <f>66+22</f>
        <v>88</v>
      </c>
      <c r="R102" s="3">
        <v>17</v>
      </c>
    </row>
    <row r="103" spans="2:18" ht="12" customHeight="1">
      <c r="B103" s="9" t="s">
        <v>97</v>
      </c>
      <c r="C103" s="3">
        <f t="shared" si="11"/>
        <v>166</v>
      </c>
      <c r="D103" s="3">
        <v>115</v>
      </c>
      <c r="E103" s="3">
        <v>51</v>
      </c>
      <c r="I103" s="3">
        <v>3</v>
      </c>
      <c r="K103" s="3">
        <v>6</v>
      </c>
      <c r="L103" s="3">
        <v>1</v>
      </c>
      <c r="N103" s="19">
        <f t="shared" si="12"/>
        <v>105</v>
      </c>
      <c r="P103" s="3">
        <f>44+17</f>
        <v>61</v>
      </c>
      <c r="R103" s="3">
        <v>6</v>
      </c>
    </row>
    <row r="104" spans="2:18" ht="12" customHeight="1">
      <c r="B104" s="9" t="s">
        <v>55</v>
      </c>
      <c r="C104" s="3">
        <f>D104+E104</f>
        <v>1119</v>
      </c>
      <c r="D104" s="3">
        <v>1037</v>
      </c>
      <c r="E104" s="3">
        <v>82</v>
      </c>
      <c r="G104" s="3">
        <v>1</v>
      </c>
      <c r="H104" s="3">
        <v>19</v>
      </c>
      <c r="I104" s="3">
        <v>28</v>
      </c>
      <c r="K104" s="3">
        <v>17</v>
      </c>
      <c r="L104" s="3">
        <v>6</v>
      </c>
      <c r="N104" s="19">
        <f>(C104-P104)</f>
        <v>678</v>
      </c>
      <c r="P104" s="3">
        <f>399+42</f>
        <v>441</v>
      </c>
      <c r="R104" s="3">
        <v>67</v>
      </c>
    </row>
    <row r="105" spans="2:18" ht="12.75">
      <c r="B105" s="3" t="s">
        <v>188</v>
      </c>
      <c r="C105" s="3">
        <f>D105+E105</f>
        <v>56</v>
      </c>
      <c r="D105" s="3">
        <v>54</v>
      </c>
      <c r="E105" s="3">
        <v>2</v>
      </c>
      <c r="H105" s="3">
        <v>3</v>
      </c>
      <c r="I105" s="3">
        <v>3</v>
      </c>
      <c r="K105" s="3">
        <v>2</v>
      </c>
      <c r="L105" s="3">
        <v>1</v>
      </c>
      <c r="N105" s="19">
        <f>(C105-P105)</f>
        <v>40</v>
      </c>
      <c r="P105" s="3">
        <f>15+1</f>
        <v>16</v>
      </c>
      <c r="R105" s="3">
        <v>3</v>
      </c>
    </row>
    <row r="106" spans="1:18" ht="12.75">
      <c r="A106" s="9" t="s">
        <v>4</v>
      </c>
      <c r="C106" s="3">
        <f>SUM(C92:C105)</f>
        <v>5030</v>
      </c>
      <c r="D106" s="3">
        <f>SUM(D92:D105)</f>
        <v>4272</v>
      </c>
      <c r="E106" s="3">
        <f>SUM(E92:E105)</f>
        <v>758</v>
      </c>
      <c r="G106" s="3">
        <f>SUM(G92:G104)</f>
        <v>8</v>
      </c>
      <c r="H106" s="3">
        <f>SUM(H92:H105)</f>
        <v>112</v>
      </c>
      <c r="I106" s="3">
        <f>SUM(I92:I105)</f>
        <v>157</v>
      </c>
      <c r="J106" s="3">
        <f>SUM(J92:J105)</f>
        <v>0</v>
      </c>
      <c r="K106" s="3">
        <f>SUM(K92:K105)</f>
        <v>125</v>
      </c>
      <c r="L106" s="3">
        <f>SUM(L92:L105)</f>
        <v>30</v>
      </c>
      <c r="N106" s="3">
        <f>SUM(N92:N105)</f>
        <v>3064</v>
      </c>
      <c r="P106" s="3">
        <f>SUM(P92:P105)</f>
        <v>1966</v>
      </c>
      <c r="R106" s="3">
        <f>SUM(R92:R105)</f>
        <v>371</v>
      </c>
    </row>
    <row r="109" spans="7:18" ht="12.75">
      <c r="G109" s="26" t="s">
        <v>1</v>
      </c>
      <c r="H109" s="26"/>
      <c r="I109" s="26"/>
      <c r="J109" s="26"/>
      <c r="K109" s="26"/>
      <c r="L109" s="26"/>
      <c r="P109" s="5" t="s">
        <v>2</v>
      </c>
      <c r="R109" s="5" t="s">
        <v>3</v>
      </c>
    </row>
    <row r="110" spans="1:18" ht="12.75">
      <c r="A110" s="4" t="s">
        <v>152</v>
      </c>
      <c r="B110" s="6"/>
      <c r="C110" s="7" t="s">
        <v>4</v>
      </c>
      <c r="D110" s="7" t="s">
        <v>5</v>
      </c>
      <c r="E110" s="7" t="s">
        <v>6</v>
      </c>
      <c r="F110" s="6"/>
      <c r="G110" s="7" t="s">
        <v>7</v>
      </c>
      <c r="H110" s="7" t="s">
        <v>8</v>
      </c>
      <c r="I110" s="7" t="s">
        <v>9</v>
      </c>
      <c r="J110" s="7">
        <v>5</v>
      </c>
      <c r="K110" s="7">
        <v>6</v>
      </c>
      <c r="L110" s="7">
        <v>7</v>
      </c>
      <c r="M110" s="6"/>
      <c r="N110" s="21" t="s">
        <v>10</v>
      </c>
      <c r="O110" s="6"/>
      <c r="P110" s="8" t="s">
        <v>11</v>
      </c>
      <c r="Q110" s="6"/>
      <c r="R110" s="8" t="s">
        <v>12</v>
      </c>
    </row>
    <row r="111" spans="2:18" ht="12.75">
      <c r="B111" s="9" t="s">
        <v>165</v>
      </c>
      <c r="C111" s="3">
        <f aca="true" t="shared" si="13" ref="C111:C127">D111+E111</f>
        <v>55</v>
      </c>
      <c r="D111" s="3">
        <v>11</v>
      </c>
      <c r="E111" s="3">
        <v>44</v>
      </c>
      <c r="I111" s="3">
        <v>2</v>
      </c>
      <c r="K111" s="3">
        <v>2</v>
      </c>
      <c r="N111" s="19">
        <f aca="true" t="shared" si="14" ref="N111:N127">(C111-P111)</f>
        <v>24</v>
      </c>
      <c r="P111" s="3">
        <f>6+25</f>
        <v>31</v>
      </c>
      <c r="R111" s="3">
        <v>3</v>
      </c>
    </row>
    <row r="112" spans="2:16" ht="12.75">
      <c r="B112" s="9" t="s">
        <v>148</v>
      </c>
      <c r="C112" s="3">
        <f t="shared" si="13"/>
        <v>9</v>
      </c>
      <c r="D112" s="3">
        <v>0</v>
      </c>
      <c r="E112" s="3">
        <v>9</v>
      </c>
      <c r="N112" s="19">
        <f t="shared" si="14"/>
        <v>8</v>
      </c>
      <c r="P112" s="3">
        <v>1</v>
      </c>
    </row>
    <row r="113" spans="2:18" ht="25.5">
      <c r="B113" s="13" t="s">
        <v>189</v>
      </c>
      <c r="C113" s="3">
        <f t="shared" si="13"/>
        <v>458</v>
      </c>
      <c r="D113" s="3">
        <v>18</v>
      </c>
      <c r="E113" s="3">
        <v>440</v>
      </c>
      <c r="G113" s="3">
        <v>1</v>
      </c>
      <c r="H113" s="3">
        <v>16</v>
      </c>
      <c r="I113" s="3">
        <v>14</v>
      </c>
      <c r="K113" s="3">
        <v>16</v>
      </c>
      <c r="L113" s="3">
        <v>8</v>
      </c>
      <c r="N113" s="19">
        <f t="shared" si="14"/>
        <v>325</v>
      </c>
      <c r="P113" s="3">
        <f>3+130</f>
        <v>133</v>
      </c>
      <c r="R113" s="3">
        <v>10</v>
      </c>
    </row>
    <row r="114" spans="2:18" ht="12.75">
      <c r="B114" s="9" t="s">
        <v>149</v>
      </c>
      <c r="C114" s="3">
        <f t="shared" si="13"/>
        <v>285</v>
      </c>
      <c r="D114" s="3">
        <v>14</v>
      </c>
      <c r="E114" s="3">
        <v>271</v>
      </c>
      <c r="H114" s="3">
        <v>14</v>
      </c>
      <c r="I114" s="3">
        <v>7</v>
      </c>
      <c r="K114" s="3">
        <v>9</v>
      </c>
      <c r="L114" s="3">
        <v>1</v>
      </c>
      <c r="N114" s="19">
        <f t="shared" si="14"/>
        <v>250</v>
      </c>
      <c r="P114" s="3">
        <f>1+34</f>
        <v>35</v>
      </c>
      <c r="R114" s="3">
        <v>1</v>
      </c>
    </row>
    <row r="115" spans="2:16" ht="12.75">
      <c r="B115" s="9" t="s">
        <v>190</v>
      </c>
      <c r="C115" s="3">
        <f t="shared" si="13"/>
        <v>25</v>
      </c>
      <c r="D115" s="3">
        <v>4</v>
      </c>
      <c r="E115" s="3">
        <v>21</v>
      </c>
      <c r="I115" s="3">
        <v>1</v>
      </c>
      <c r="L115" s="3">
        <v>2</v>
      </c>
      <c r="N115" s="19">
        <f t="shared" si="14"/>
        <v>20</v>
      </c>
      <c r="P115" s="3">
        <v>5</v>
      </c>
    </row>
    <row r="116" spans="2:16" ht="12.75">
      <c r="B116" s="9" t="s">
        <v>191</v>
      </c>
      <c r="C116" s="3">
        <f t="shared" si="13"/>
        <v>0</v>
      </c>
      <c r="D116" s="3">
        <v>0</v>
      </c>
      <c r="E116" s="3">
        <v>0</v>
      </c>
      <c r="N116" s="19">
        <f t="shared" si="14"/>
        <v>0</v>
      </c>
      <c r="P116" s="3">
        <v>0</v>
      </c>
    </row>
    <row r="117" spans="2:18" ht="12.75">
      <c r="B117" s="9" t="s">
        <v>192</v>
      </c>
      <c r="C117" s="3">
        <f t="shared" si="13"/>
        <v>205</v>
      </c>
      <c r="D117" s="3">
        <v>15</v>
      </c>
      <c r="E117" s="3">
        <v>190</v>
      </c>
      <c r="I117" s="3">
        <v>1</v>
      </c>
      <c r="K117" s="3">
        <v>3</v>
      </c>
      <c r="L117" s="3">
        <v>1</v>
      </c>
      <c r="N117" s="19">
        <f t="shared" si="14"/>
        <v>166</v>
      </c>
      <c r="P117" s="3">
        <f>1+38</f>
        <v>39</v>
      </c>
      <c r="R117" s="3">
        <v>10</v>
      </c>
    </row>
    <row r="118" spans="2:16" ht="12.75">
      <c r="B118" s="9" t="s">
        <v>150</v>
      </c>
      <c r="C118" s="3">
        <f t="shared" si="13"/>
        <v>155</v>
      </c>
      <c r="D118" s="3">
        <v>2</v>
      </c>
      <c r="E118" s="3">
        <v>153</v>
      </c>
      <c r="G118" s="3">
        <v>2</v>
      </c>
      <c r="H118" s="3">
        <v>3</v>
      </c>
      <c r="I118" s="3">
        <v>1</v>
      </c>
      <c r="K118" s="3">
        <v>6</v>
      </c>
      <c r="L118" s="3">
        <v>1</v>
      </c>
      <c r="N118" s="19">
        <f t="shared" si="14"/>
        <v>131</v>
      </c>
      <c r="P118" s="3">
        <v>24</v>
      </c>
    </row>
    <row r="119" spans="2:18" ht="12.75">
      <c r="B119" s="9" t="s">
        <v>44</v>
      </c>
      <c r="C119" s="3">
        <f t="shared" si="13"/>
        <v>579</v>
      </c>
      <c r="D119" s="3">
        <v>65</v>
      </c>
      <c r="E119" s="3">
        <v>514</v>
      </c>
      <c r="G119" s="3">
        <v>2</v>
      </c>
      <c r="H119" s="3">
        <v>10</v>
      </c>
      <c r="I119" s="3">
        <v>4</v>
      </c>
      <c r="K119" s="3">
        <v>15</v>
      </c>
      <c r="L119" s="3">
        <v>1</v>
      </c>
      <c r="N119" s="19">
        <f t="shared" si="14"/>
        <v>487</v>
      </c>
      <c r="P119" s="3">
        <f>6+86</f>
        <v>92</v>
      </c>
      <c r="R119" s="3">
        <v>4</v>
      </c>
    </row>
    <row r="120" spans="2:16" ht="12.75">
      <c r="B120" s="9" t="s">
        <v>151</v>
      </c>
      <c r="C120" s="3">
        <f t="shared" si="13"/>
        <v>29</v>
      </c>
      <c r="D120" s="3">
        <v>6</v>
      </c>
      <c r="E120" s="3">
        <v>23</v>
      </c>
      <c r="G120" s="3">
        <v>1</v>
      </c>
      <c r="H120" s="3">
        <v>2</v>
      </c>
      <c r="K120" s="3">
        <v>1</v>
      </c>
      <c r="N120" s="19">
        <f t="shared" si="14"/>
        <v>27</v>
      </c>
      <c r="P120" s="3">
        <v>2</v>
      </c>
    </row>
    <row r="121" spans="2:16" ht="25.5">
      <c r="B121" s="13" t="s">
        <v>193</v>
      </c>
      <c r="C121" s="3">
        <f t="shared" si="13"/>
        <v>60</v>
      </c>
      <c r="D121" s="3">
        <v>2</v>
      </c>
      <c r="E121" s="3">
        <v>58</v>
      </c>
      <c r="I121" s="3">
        <v>3</v>
      </c>
      <c r="N121" s="19">
        <f t="shared" si="14"/>
        <v>56</v>
      </c>
      <c r="P121" s="3">
        <v>4</v>
      </c>
    </row>
    <row r="122" spans="2:18" ht="12.75">
      <c r="B122" s="9" t="s">
        <v>194</v>
      </c>
      <c r="C122" s="3">
        <f t="shared" si="13"/>
        <v>54</v>
      </c>
      <c r="D122" s="3">
        <v>14</v>
      </c>
      <c r="E122" s="3">
        <v>40</v>
      </c>
      <c r="I122" s="3">
        <v>1</v>
      </c>
      <c r="K122" s="3">
        <v>2</v>
      </c>
      <c r="N122" s="19">
        <f t="shared" si="14"/>
        <v>31</v>
      </c>
      <c r="P122" s="3">
        <v>23</v>
      </c>
      <c r="R122" s="3">
        <v>7</v>
      </c>
    </row>
    <row r="123" spans="2:16" ht="12.75">
      <c r="B123" s="9" t="s">
        <v>108</v>
      </c>
      <c r="C123" s="3">
        <f t="shared" si="13"/>
        <v>27</v>
      </c>
      <c r="D123" s="3">
        <v>13</v>
      </c>
      <c r="E123" s="3">
        <v>14</v>
      </c>
      <c r="I123" s="3">
        <v>1</v>
      </c>
      <c r="L123" s="3">
        <v>1</v>
      </c>
      <c r="N123" s="19">
        <f t="shared" si="14"/>
        <v>21</v>
      </c>
      <c r="P123" s="3">
        <v>6</v>
      </c>
    </row>
    <row r="124" spans="2:18" ht="25.5">
      <c r="B124" s="13" t="s">
        <v>195</v>
      </c>
      <c r="C124" s="3">
        <f t="shared" si="13"/>
        <v>177</v>
      </c>
      <c r="D124" s="3">
        <v>66</v>
      </c>
      <c r="E124" s="3">
        <v>111</v>
      </c>
      <c r="G124" s="3">
        <v>1</v>
      </c>
      <c r="H124" s="3">
        <v>11</v>
      </c>
      <c r="I124" s="3">
        <v>7</v>
      </c>
      <c r="K124" s="3">
        <v>8</v>
      </c>
      <c r="L124" s="3">
        <v>1</v>
      </c>
      <c r="N124" s="19">
        <f t="shared" si="14"/>
        <v>129</v>
      </c>
      <c r="P124" s="3">
        <f>14+34</f>
        <v>48</v>
      </c>
      <c r="R124" s="3">
        <v>11</v>
      </c>
    </row>
    <row r="125" spans="2:18" ht="12.75">
      <c r="B125" s="13" t="s">
        <v>171</v>
      </c>
      <c r="C125" s="3">
        <f>D125+E125</f>
        <v>845</v>
      </c>
      <c r="D125" s="3">
        <v>385</v>
      </c>
      <c r="E125" s="3">
        <v>460</v>
      </c>
      <c r="G125" s="3">
        <v>3</v>
      </c>
      <c r="H125" s="3">
        <v>27</v>
      </c>
      <c r="I125" s="3">
        <v>23</v>
      </c>
      <c r="J125" s="3">
        <v>1</v>
      </c>
      <c r="K125" s="3">
        <v>24</v>
      </c>
      <c r="L125" s="3">
        <v>1</v>
      </c>
      <c r="N125" s="19">
        <f>(C125-P125)</f>
        <v>663</v>
      </c>
      <c r="P125" s="3">
        <f>72+110</f>
        <v>182</v>
      </c>
      <c r="R125" s="3">
        <v>5</v>
      </c>
    </row>
    <row r="126" spans="2:18" ht="12.75">
      <c r="B126" s="9" t="s">
        <v>196</v>
      </c>
      <c r="C126" s="3">
        <f t="shared" si="13"/>
        <v>35</v>
      </c>
      <c r="D126" s="3">
        <v>3</v>
      </c>
      <c r="E126" s="3">
        <v>32</v>
      </c>
      <c r="I126" s="3">
        <v>2</v>
      </c>
      <c r="K126" s="3">
        <v>1</v>
      </c>
      <c r="N126" s="19">
        <f t="shared" si="14"/>
        <v>22</v>
      </c>
      <c r="P126" s="3">
        <v>13</v>
      </c>
      <c r="R126" s="3">
        <v>4</v>
      </c>
    </row>
    <row r="127" spans="2:16" ht="12.75">
      <c r="B127" s="9" t="s">
        <v>197</v>
      </c>
      <c r="C127" s="3">
        <f t="shared" si="13"/>
        <v>33</v>
      </c>
      <c r="D127" s="3">
        <v>5</v>
      </c>
      <c r="E127" s="3">
        <v>28</v>
      </c>
      <c r="N127" s="19">
        <f t="shared" si="14"/>
        <v>25</v>
      </c>
      <c r="P127" s="3">
        <v>8</v>
      </c>
    </row>
    <row r="129" spans="1:18" ht="12.75">
      <c r="A129" s="9" t="s">
        <v>4</v>
      </c>
      <c r="C129" s="3">
        <f>SUM(C111:C128)</f>
        <v>3031</v>
      </c>
      <c r="D129" s="3">
        <f>SUM(D111:D128)</f>
        <v>623</v>
      </c>
      <c r="E129" s="3">
        <f>SUM(E111:E127)</f>
        <v>2408</v>
      </c>
      <c r="G129" s="3">
        <f aca="true" t="shared" si="15" ref="G129:L129">SUM(G111:G127)</f>
        <v>10</v>
      </c>
      <c r="H129" s="3">
        <f t="shared" si="15"/>
        <v>83</v>
      </c>
      <c r="I129" s="3">
        <f t="shared" si="15"/>
        <v>67</v>
      </c>
      <c r="J129" s="3">
        <f t="shared" si="15"/>
        <v>1</v>
      </c>
      <c r="K129" s="3">
        <f t="shared" si="15"/>
        <v>87</v>
      </c>
      <c r="L129" s="3">
        <f t="shared" si="15"/>
        <v>17</v>
      </c>
      <c r="N129" s="19">
        <f>SUM(N111:N128)</f>
        <v>2385</v>
      </c>
      <c r="P129" s="3">
        <f>SUM(P111:P127)</f>
        <v>646</v>
      </c>
      <c r="R129" s="3">
        <f>SUM(R111:R127)</f>
        <v>55</v>
      </c>
    </row>
    <row r="132" ht="12.75">
      <c r="A132" s="9"/>
    </row>
    <row r="133" ht="12.75">
      <c r="A133" s="10"/>
    </row>
    <row r="134" spans="1:19" ht="12.75">
      <c r="A134" s="2" t="s">
        <v>174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2"/>
      <c r="O134" s="2"/>
      <c r="P134" s="2"/>
      <c r="Q134" s="2"/>
      <c r="R134" s="2"/>
      <c r="S134" s="2"/>
    </row>
    <row r="136" spans="7:18" ht="12.75">
      <c r="G136" s="26" t="s">
        <v>1</v>
      </c>
      <c r="H136" s="26"/>
      <c r="I136" s="26"/>
      <c r="J136" s="26"/>
      <c r="K136" s="26"/>
      <c r="L136" s="26"/>
      <c r="P136" s="5" t="s">
        <v>2</v>
      </c>
      <c r="R136" s="5" t="s">
        <v>3</v>
      </c>
    </row>
    <row r="137" spans="1:18" ht="12.75">
      <c r="A137" s="4" t="s">
        <v>56</v>
      </c>
      <c r="B137" s="6"/>
      <c r="C137" s="7" t="s">
        <v>4</v>
      </c>
      <c r="D137" s="7" t="s">
        <v>5</v>
      </c>
      <c r="E137" s="7" t="s">
        <v>6</v>
      </c>
      <c r="F137" s="6"/>
      <c r="G137" s="7" t="s">
        <v>7</v>
      </c>
      <c r="H137" s="7" t="s">
        <v>8</v>
      </c>
      <c r="I137" s="7" t="s">
        <v>9</v>
      </c>
      <c r="J137" s="7">
        <v>5</v>
      </c>
      <c r="K137" s="7">
        <v>6</v>
      </c>
      <c r="L137" s="7">
        <v>7</v>
      </c>
      <c r="M137" s="6"/>
      <c r="N137" s="21" t="s">
        <v>10</v>
      </c>
      <c r="O137" s="6"/>
      <c r="P137" s="8" t="s">
        <v>11</v>
      </c>
      <c r="Q137" s="6"/>
      <c r="R137" s="8" t="s">
        <v>12</v>
      </c>
    </row>
    <row r="138" spans="2:18" ht="12" customHeight="1">
      <c r="B138" s="14" t="s">
        <v>153</v>
      </c>
      <c r="C138" s="3">
        <f aca="true" t="shared" si="16" ref="C138:C149">D138+E138</f>
        <v>220</v>
      </c>
      <c r="D138" s="3">
        <v>155</v>
      </c>
      <c r="E138" s="3">
        <v>65</v>
      </c>
      <c r="H138" s="3">
        <v>1</v>
      </c>
      <c r="N138" s="19">
        <f aca="true" t="shared" si="17" ref="N138:N149">(C138-P138)</f>
        <v>2</v>
      </c>
      <c r="P138" s="17">
        <f>153+65</f>
        <v>218</v>
      </c>
      <c r="R138" s="3">
        <f>151+65</f>
        <v>216</v>
      </c>
    </row>
    <row r="139" spans="2:18" ht="12" customHeight="1">
      <c r="B139" s="14" t="s">
        <v>166</v>
      </c>
      <c r="C139" s="3">
        <f t="shared" si="16"/>
        <v>183</v>
      </c>
      <c r="D139" s="3">
        <v>82</v>
      </c>
      <c r="E139" s="3">
        <v>101</v>
      </c>
      <c r="G139" s="3">
        <v>1</v>
      </c>
      <c r="H139" s="3">
        <v>6</v>
      </c>
      <c r="I139" s="3">
        <v>18</v>
      </c>
      <c r="K139" s="3">
        <v>2</v>
      </c>
      <c r="L139" s="3">
        <v>1</v>
      </c>
      <c r="N139" s="19">
        <f t="shared" si="17"/>
        <v>158</v>
      </c>
      <c r="P139" s="17">
        <v>25</v>
      </c>
      <c r="R139" s="3">
        <v>13</v>
      </c>
    </row>
    <row r="140" spans="2:18" ht="12" customHeight="1">
      <c r="B140" s="14" t="s">
        <v>136</v>
      </c>
      <c r="C140" s="3">
        <f t="shared" si="16"/>
        <v>694</v>
      </c>
      <c r="D140" s="3">
        <v>354</v>
      </c>
      <c r="E140" s="3">
        <v>340</v>
      </c>
      <c r="G140" s="3">
        <v>4</v>
      </c>
      <c r="H140" s="3">
        <f>24+11</f>
        <v>35</v>
      </c>
      <c r="I140" s="3">
        <v>18</v>
      </c>
      <c r="J140" s="3">
        <v>1</v>
      </c>
      <c r="K140" s="3">
        <f>5+12</f>
        <v>17</v>
      </c>
      <c r="L140" s="3">
        <v>13</v>
      </c>
      <c r="N140" s="19">
        <f t="shared" si="17"/>
        <v>522</v>
      </c>
      <c r="P140" s="17">
        <f>94+78</f>
        <v>172</v>
      </c>
      <c r="R140" s="3">
        <v>19</v>
      </c>
    </row>
    <row r="141" spans="2:18" ht="12" customHeight="1">
      <c r="B141" s="14" t="s">
        <v>57</v>
      </c>
      <c r="C141" s="3">
        <f t="shared" si="16"/>
        <v>82</v>
      </c>
      <c r="D141" s="3">
        <v>21</v>
      </c>
      <c r="E141" s="3">
        <v>61</v>
      </c>
      <c r="G141" s="3">
        <v>1</v>
      </c>
      <c r="I141" s="3">
        <v>5</v>
      </c>
      <c r="K141" s="3">
        <v>2</v>
      </c>
      <c r="N141" s="19">
        <f t="shared" si="17"/>
        <v>64</v>
      </c>
      <c r="P141" s="17">
        <v>18</v>
      </c>
      <c r="R141" s="3">
        <v>1</v>
      </c>
    </row>
    <row r="142" spans="2:16" ht="12" customHeight="1">
      <c r="B142" s="14" t="s">
        <v>58</v>
      </c>
      <c r="C142" s="3">
        <f t="shared" si="16"/>
        <v>87</v>
      </c>
      <c r="D142" s="3">
        <v>26</v>
      </c>
      <c r="E142" s="3">
        <v>61</v>
      </c>
      <c r="H142" s="3">
        <v>2</v>
      </c>
      <c r="I142" s="3">
        <v>2</v>
      </c>
      <c r="K142" s="3">
        <v>1</v>
      </c>
      <c r="L142" s="3">
        <v>1</v>
      </c>
      <c r="N142" s="19">
        <f t="shared" si="17"/>
        <v>77</v>
      </c>
      <c r="P142" s="17">
        <v>10</v>
      </c>
    </row>
    <row r="143" spans="2:18" ht="12" customHeight="1">
      <c r="B143" s="14" t="s">
        <v>59</v>
      </c>
      <c r="C143" s="3">
        <f t="shared" si="16"/>
        <v>117</v>
      </c>
      <c r="D143" s="3">
        <v>49</v>
      </c>
      <c r="E143" s="3">
        <v>68</v>
      </c>
      <c r="H143" s="3">
        <v>8</v>
      </c>
      <c r="I143" s="3">
        <v>13</v>
      </c>
      <c r="K143" s="3">
        <v>9</v>
      </c>
      <c r="L143" s="3">
        <v>2</v>
      </c>
      <c r="N143" s="19">
        <f t="shared" si="17"/>
        <v>75</v>
      </c>
      <c r="P143" s="17">
        <f>14+28</f>
        <v>42</v>
      </c>
      <c r="R143" s="3">
        <v>15</v>
      </c>
    </row>
    <row r="144" spans="2:18" ht="12" customHeight="1">
      <c r="B144" s="14" t="s">
        <v>119</v>
      </c>
      <c r="C144" s="3">
        <f>D144+E144</f>
        <v>9</v>
      </c>
      <c r="D144" s="3">
        <v>3</v>
      </c>
      <c r="E144" s="3">
        <v>6</v>
      </c>
      <c r="N144" s="19">
        <f>(C144-P144)</f>
        <v>4</v>
      </c>
      <c r="P144" s="17">
        <v>5</v>
      </c>
      <c r="R144" s="3">
        <v>3</v>
      </c>
    </row>
    <row r="145" spans="2:18" ht="12" customHeight="1">
      <c r="B145" s="14" t="s">
        <v>230</v>
      </c>
      <c r="C145" s="3">
        <f t="shared" si="16"/>
        <v>15</v>
      </c>
      <c r="D145" s="3">
        <v>3</v>
      </c>
      <c r="E145" s="3">
        <v>12</v>
      </c>
      <c r="H145" s="3">
        <v>1</v>
      </c>
      <c r="I145" s="3">
        <v>1</v>
      </c>
      <c r="N145" s="19">
        <f t="shared" si="17"/>
        <v>9</v>
      </c>
      <c r="P145" s="17">
        <v>6</v>
      </c>
      <c r="R145" s="3">
        <v>1</v>
      </c>
    </row>
    <row r="146" spans="2:18" ht="12" customHeight="1">
      <c r="B146" s="14" t="s">
        <v>198</v>
      </c>
      <c r="C146" s="3">
        <f t="shared" si="16"/>
        <v>370</v>
      </c>
      <c r="D146" s="3">
        <v>157</v>
      </c>
      <c r="E146" s="3">
        <v>213</v>
      </c>
      <c r="G146" s="3">
        <v>1</v>
      </c>
      <c r="H146" s="3">
        <v>12</v>
      </c>
      <c r="I146" s="3">
        <v>29</v>
      </c>
      <c r="K146" s="3">
        <v>19</v>
      </c>
      <c r="L146" s="3">
        <v>4</v>
      </c>
      <c r="N146" s="19">
        <f t="shared" si="17"/>
        <v>274</v>
      </c>
      <c r="P146" s="17">
        <f>39+57</f>
        <v>96</v>
      </c>
      <c r="R146" s="3">
        <v>13</v>
      </c>
    </row>
    <row r="147" spans="2:18" ht="12" customHeight="1">
      <c r="B147" s="14" t="s">
        <v>60</v>
      </c>
      <c r="C147" s="3">
        <f t="shared" si="16"/>
        <v>8</v>
      </c>
      <c r="D147" s="3">
        <v>6</v>
      </c>
      <c r="E147" s="3">
        <v>2</v>
      </c>
      <c r="I147" s="3">
        <v>1</v>
      </c>
      <c r="N147" s="19">
        <f t="shared" si="17"/>
        <v>3</v>
      </c>
      <c r="P147" s="17">
        <v>5</v>
      </c>
      <c r="R147" s="3">
        <v>1</v>
      </c>
    </row>
    <row r="148" spans="2:18" ht="12" customHeight="1">
      <c r="B148" s="14" t="s">
        <v>61</v>
      </c>
      <c r="C148" s="3">
        <f t="shared" si="16"/>
        <v>116</v>
      </c>
      <c r="D148" s="3">
        <v>69</v>
      </c>
      <c r="E148" s="3">
        <v>47</v>
      </c>
      <c r="H148" s="3">
        <v>2</v>
      </c>
      <c r="I148" s="3">
        <v>7</v>
      </c>
      <c r="N148" s="19">
        <f t="shared" si="17"/>
        <v>80</v>
      </c>
      <c r="P148" s="17">
        <f>22+14</f>
        <v>36</v>
      </c>
      <c r="R148" s="3">
        <v>10</v>
      </c>
    </row>
    <row r="149" spans="2:18" ht="12" customHeight="1">
      <c r="B149" s="14" t="s">
        <v>98</v>
      </c>
      <c r="C149" s="3">
        <f t="shared" si="16"/>
        <v>226</v>
      </c>
      <c r="D149" s="3">
        <v>71</v>
      </c>
      <c r="E149" s="3">
        <v>155</v>
      </c>
      <c r="H149" s="3">
        <v>14</v>
      </c>
      <c r="I149" s="3">
        <v>4</v>
      </c>
      <c r="J149" s="3">
        <v>1</v>
      </c>
      <c r="K149" s="3">
        <v>4</v>
      </c>
      <c r="L149" s="3">
        <v>2</v>
      </c>
      <c r="N149" s="19">
        <f t="shared" si="17"/>
        <v>175</v>
      </c>
      <c r="P149" s="17">
        <f>14+37</f>
        <v>51</v>
      </c>
      <c r="R149" s="3">
        <v>6</v>
      </c>
    </row>
    <row r="150" spans="2:18" ht="12" customHeight="1">
      <c r="B150" s="14" t="s">
        <v>154</v>
      </c>
      <c r="C150" s="3">
        <f aca="true" t="shared" si="18" ref="C150:C189">D150+E150</f>
        <v>91</v>
      </c>
      <c r="D150" s="3">
        <v>85</v>
      </c>
      <c r="E150" s="3">
        <v>6</v>
      </c>
      <c r="H150" s="3">
        <v>1</v>
      </c>
      <c r="I150" s="3">
        <v>2</v>
      </c>
      <c r="K150" s="3">
        <v>1</v>
      </c>
      <c r="N150" s="19">
        <f aca="true" t="shared" si="19" ref="N150:N189">(C150-P150)</f>
        <v>66</v>
      </c>
      <c r="P150" s="17">
        <f>22+3</f>
        <v>25</v>
      </c>
      <c r="R150" s="3">
        <v>11</v>
      </c>
    </row>
    <row r="151" spans="2:16" ht="12" customHeight="1">
      <c r="B151" s="14" t="s">
        <v>62</v>
      </c>
      <c r="C151" s="3">
        <f t="shared" si="18"/>
        <v>15</v>
      </c>
      <c r="D151" s="3">
        <v>10</v>
      </c>
      <c r="E151" s="3">
        <v>5</v>
      </c>
      <c r="N151" s="19">
        <f t="shared" si="19"/>
        <v>13</v>
      </c>
      <c r="P151" s="17">
        <v>2</v>
      </c>
    </row>
    <row r="152" spans="2:18" ht="12" customHeight="1">
      <c r="B152" s="14" t="s">
        <v>199</v>
      </c>
      <c r="C152" s="3">
        <f t="shared" si="18"/>
        <v>74</v>
      </c>
      <c r="D152" s="3">
        <v>60</v>
      </c>
      <c r="E152" s="3">
        <v>14</v>
      </c>
      <c r="H152" s="3">
        <v>2</v>
      </c>
      <c r="I152" s="3">
        <v>4</v>
      </c>
      <c r="K152" s="3">
        <v>1</v>
      </c>
      <c r="L152" s="3">
        <v>1</v>
      </c>
      <c r="N152" s="19">
        <f t="shared" si="19"/>
        <v>40</v>
      </c>
      <c r="P152" s="17">
        <f>25+9</f>
        <v>34</v>
      </c>
      <c r="R152" s="3">
        <v>19</v>
      </c>
    </row>
    <row r="153" spans="2:18" ht="12" customHeight="1">
      <c r="B153" s="14" t="s">
        <v>63</v>
      </c>
      <c r="C153" s="3">
        <f t="shared" si="18"/>
        <v>223</v>
      </c>
      <c r="D153" s="3">
        <v>74</v>
      </c>
      <c r="E153" s="3">
        <v>149</v>
      </c>
      <c r="H153" s="3">
        <v>1</v>
      </c>
      <c r="I153" s="3">
        <v>6</v>
      </c>
      <c r="K153" s="3">
        <v>4</v>
      </c>
      <c r="L153" s="3">
        <v>3</v>
      </c>
      <c r="N153" s="19">
        <f t="shared" si="19"/>
        <v>186</v>
      </c>
      <c r="P153" s="17">
        <f>10+27</f>
        <v>37</v>
      </c>
      <c r="R153" s="3">
        <v>1</v>
      </c>
    </row>
    <row r="154" spans="2:18" ht="12" customHeight="1">
      <c r="B154" s="14" t="s">
        <v>200</v>
      </c>
      <c r="C154" s="3">
        <f t="shared" si="18"/>
        <v>63</v>
      </c>
      <c r="D154" s="3">
        <v>37</v>
      </c>
      <c r="E154" s="3">
        <v>26</v>
      </c>
      <c r="I154" s="3">
        <v>1</v>
      </c>
      <c r="K154" s="3">
        <v>5</v>
      </c>
      <c r="L154" s="3">
        <v>2</v>
      </c>
      <c r="N154" s="19">
        <f t="shared" si="19"/>
        <v>43</v>
      </c>
      <c r="P154" s="17">
        <v>20</v>
      </c>
      <c r="R154" s="3">
        <v>6</v>
      </c>
    </row>
    <row r="155" spans="2:16" ht="12" customHeight="1">
      <c r="B155" s="14" t="s">
        <v>64</v>
      </c>
      <c r="C155" s="3">
        <f t="shared" si="18"/>
        <v>19</v>
      </c>
      <c r="D155" s="3">
        <v>1</v>
      </c>
      <c r="E155" s="3">
        <v>18</v>
      </c>
      <c r="I155" s="3">
        <v>1</v>
      </c>
      <c r="N155" s="19">
        <f t="shared" si="19"/>
        <v>15</v>
      </c>
      <c r="P155" s="17">
        <v>4</v>
      </c>
    </row>
    <row r="156" spans="2:18" ht="12" customHeight="1">
      <c r="B156" s="14" t="s">
        <v>201</v>
      </c>
      <c r="C156" s="3">
        <f t="shared" si="18"/>
        <v>65</v>
      </c>
      <c r="D156" s="3">
        <v>15</v>
      </c>
      <c r="E156" s="3">
        <v>50</v>
      </c>
      <c r="G156" s="3">
        <v>2</v>
      </c>
      <c r="I156" s="3">
        <v>7</v>
      </c>
      <c r="K156" s="3">
        <v>9</v>
      </c>
      <c r="L156" s="3">
        <v>1</v>
      </c>
      <c r="N156" s="19">
        <f t="shared" si="19"/>
        <v>30</v>
      </c>
      <c r="P156" s="17">
        <f>9+26</f>
        <v>35</v>
      </c>
      <c r="R156" s="3">
        <v>1</v>
      </c>
    </row>
    <row r="157" spans="2:18" ht="12" customHeight="1">
      <c r="B157" s="14" t="s">
        <v>65</v>
      </c>
      <c r="C157" s="3">
        <f t="shared" si="18"/>
        <v>32</v>
      </c>
      <c r="D157" s="3">
        <v>21</v>
      </c>
      <c r="E157" s="3">
        <v>11</v>
      </c>
      <c r="H157" s="3">
        <v>1</v>
      </c>
      <c r="I157" s="3">
        <v>1</v>
      </c>
      <c r="K157" s="3">
        <v>1</v>
      </c>
      <c r="N157" s="19">
        <f t="shared" si="19"/>
        <v>27</v>
      </c>
      <c r="P157" s="17">
        <v>5</v>
      </c>
      <c r="R157" s="3">
        <v>2</v>
      </c>
    </row>
    <row r="158" spans="2:16" ht="12" customHeight="1">
      <c r="B158" s="14" t="s">
        <v>66</v>
      </c>
      <c r="C158" s="3">
        <f t="shared" si="18"/>
        <v>15</v>
      </c>
      <c r="D158" s="3">
        <v>7</v>
      </c>
      <c r="E158" s="3">
        <v>8</v>
      </c>
      <c r="N158" s="19">
        <f t="shared" si="19"/>
        <v>14</v>
      </c>
      <c r="P158" s="17">
        <v>1</v>
      </c>
    </row>
    <row r="159" spans="2:16" ht="12" customHeight="1">
      <c r="B159" s="14" t="s">
        <v>67</v>
      </c>
      <c r="C159" s="3">
        <f t="shared" si="18"/>
        <v>306</v>
      </c>
      <c r="D159" s="3">
        <v>220</v>
      </c>
      <c r="E159" s="3">
        <v>86</v>
      </c>
      <c r="H159" s="3">
        <v>9</v>
      </c>
      <c r="I159" s="3">
        <v>4</v>
      </c>
      <c r="K159" s="3">
        <v>9</v>
      </c>
      <c r="L159" s="3">
        <v>3</v>
      </c>
      <c r="N159" s="19">
        <f t="shared" si="19"/>
        <v>266</v>
      </c>
      <c r="P159" s="17">
        <f>33+7</f>
        <v>40</v>
      </c>
    </row>
    <row r="160" spans="2:18" ht="12" customHeight="1">
      <c r="B160" s="14" t="s">
        <v>68</v>
      </c>
      <c r="C160" s="3">
        <f t="shared" si="18"/>
        <v>299</v>
      </c>
      <c r="D160" s="3">
        <v>210</v>
      </c>
      <c r="E160" s="3">
        <v>89</v>
      </c>
      <c r="H160" s="3">
        <v>30</v>
      </c>
      <c r="I160" s="3">
        <v>3</v>
      </c>
      <c r="K160" s="3">
        <v>14</v>
      </c>
      <c r="L160" s="3">
        <v>1</v>
      </c>
      <c r="N160" s="19">
        <f t="shared" si="19"/>
        <v>240</v>
      </c>
      <c r="P160" s="17">
        <v>59</v>
      </c>
      <c r="R160" s="3">
        <v>1</v>
      </c>
    </row>
    <row r="161" spans="2:18" ht="12" customHeight="1">
      <c r="B161" s="14" t="s">
        <v>155</v>
      </c>
      <c r="C161" s="3">
        <f t="shared" si="18"/>
        <v>181</v>
      </c>
      <c r="D161" s="3">
        <v>63</v>
      </c>
      <c r="E161" s="3">
        <v>118</v>
      </c>
      <c r="H161" s="3">
        <v>2</v>
      </c>
      <c r="I161" s="3">
        <v>5</v>
      </c>
      <c r="K161" s="3">
        <v>2</v>
      </c>
      <c r="L161" s="3">
        <v>1</v>
      </c>
      <c r="N161" s="19">
        <f t="shared" si="19"/>
        <v>145</v>
      </c>
      <c r="P161" s="17">
        <v>36</v>
      </c>
      <c r="R161" s="3">
        <v>2</v>
      </c>
    </row>
    <row r="162" spans="2:18" ht="12" customHeight="1">
      <c r="B162" s="14" t="s">
        <v>69</v>
      </c>
      <c r="C162" s="3">
        <f t="shared" si="18"/>
        <v>135</v>
      </c>
      <c r="D162" s="3">
        <v>77</v>
      </c>
      <c r="E162" s="3">
        <v>58</v>
      </c>
      <c r="G162" s="3">
        <v>1</v>
      </c>
      <c r="H162" s="3">
        <v>13</v>
      </c>
      <c r="I162" s="3">
        <v>5</v>
      </c>
      <c r="K162" s="3">
        <v>2</v>
      </c>
      <c r="L162" s="3">
        <v>2</v>
      </c>
      <c r="N162" s="19">
        <f t="shared" si="19"/>
        <v>113</v>
      </c>
      <c r="P162" s="17">
        <v>22</v>
      </c>
      <c r="R162" s="3">
        <v>2</v>
      </c>
    </row>
    <row r="163" spans="2:18" ht="12" customHeight="1">
      <c r="B163" s="14" t="s">
        <v>70</v>
      </c>
      <c r="C163" s="3">
        <f t="shared" si="18"/>
        <v>43</v>
      </c>
      <c r="D163" s="3">
        <v>9</v>
      </c>
      <c r="E163" s="3">
        <v>34</v>
      </c>
      <c r="I163" s="3">
        <v>2</v>
      </c>
      <c r="K163" s="3">
        <v>2</v>
      </c>
      <c r="N163" s="19">
        <f t="shared" si="19"/>
        <v>34</v>
      </c>
      <c r="P163" s="17">
        <v>9</v>
      </c>
      <c r="R163" s="3">
        <v>1</v>
      </c>
    </row>
    <row r="164" spans="2:18" ht="12" customHeight="1">
      <c r="B164" s="14" t="s">
        <v>71</v>
      </c>
      <c r="C164" s="3">
        <f t="shared" si="18"/>
        <v>146</v>
      </c>
      <c r="D164" s="3">
        <v>85</v>
      </c>
      <c r="E164" s="3">
        <v>61</v>
      </c>
      <c r="H164" s="3">
        <v>1</v>
      </c>
      <c r="I164" s="3">
        <v>8</v>
      </c>
      <c r="K164" s="3">
        <v>3</v>
      </c>
      <c r="L164" s="3">
        <v>2</v>
      </c>
      <c r="N164" s="19">
        <f t="shared" si="19"/>
        <v>101</v>
      </c>
      <c r="P164" s="17">
        <f>29+16</f>
        <v>45</v>
      </c>
      <c r="R164" s="3">
        <v>19</v>
      </c>
    </row>
    <row r="165" spans="2:16" ht="12" customHeight="1">
      <c r="B165" s="14" t="s">
        <v>72</v>
      </c>
      <c r="C165" s="3">
        <f t="shared" si="18"/>
        <v>105</v>
      </c>
      <c r="D165" s="3">
        <v>68</v>
      </c>
      <c r="E165" s="3">
        <v>37</v>
      </c>
      <c r="H165" s="3">
        <v>1</v>
      </c>
      <c r="I165" s="3">
        <v>1</v>
      </c>
      <c r="K165" s="3">
        <v>3</v>
      </c>
      <c r="N165" s="19">
        <f t="shared" si="19"/>
        <v>59</v>
      </c>
      <c r="P165" s="17">
        <f>27+19</f>
        <v>46</v>
      </c>
    </row>
    <row r="166" spans="2:16" ht="12" customHeight="1">
      <c r="B166" s="14" t="s">
        <v>73</v>
      </c>
      <c r="C166" s="3">
        <f t="shared" si="18"/>
        <v>109</v>
      </c>
      <c r="D166" s="3">
        <v>69</v>
      </c>
      <c r="E166" s="3">
        <v>40</v>
      </c>
      <c r="I166" s="3">
        <v>3</v>
      </c>
      <c r="K166" s="3">
        <v>2</v>
      </c>
      <c r="L166" s="3">
        <v>1</v>
      </c>
      <c r="N166" s="19">
        <f t="shared" si="19"/>
        <v>101</v>
      </c>
      <c r="P166" s="17">
        <v>8</v>
      </c>
    </row>
    <row r="167" spans="2:16" ht="12" customHeight="1">
      <c r="B167" s="14" t="s">
        <v>74</v>
      </c>
      <c r="C167" s="3">
        <f t="shared" si="18"/>
        <v>19</v>
      </c>
      <c r="D167" s="3">
        <v>10</v>
      </c>
      <c r="E167" s="3">
        <v>9</v>
      </c>
      <c r="H167" s="3">
        <v>1</v>
      </c>
      <c r="K167" s="3">
        <v>1</v>
      </c>
      <c r="N167" s="19">
        <f t="shared" si="19"/>
        <v>18</v>
      </c>
      <c r="P167" s="17">
        <v>1</v>
      </c>
    </row>
    <row r="168" spans="2:16" ht="12" customHeight="1">
      <c r="B168" s="14" t="s">
        <v>75</v>
      </c>
      <c r="C168" s="3">
        <f t="shared" si="18"/>
        <v>61</v>
      </c>
      <c r="D168" s="3">
        <v>24</v>
      </c>
      <c r="E168" s="3">
        <v>37</v>
      </c>
      <c r="G168" s="3">
        <v>2</v>
      </c>
      <c r="H168" s="3">
        <v>2</v>
      </c>
      <c r="I168" s="3">
        <v>1</v>
      </c>
      <c r="K168" s="3">
        <v>2</v>
      </c>
      <c r="L168" s="3">
        <v>1</v>
      </c>
      <c r="N168" s="19">
        <f t="shared" si="19"/>
        <v>55</v>
      </c>
      <c r="P168" s="17">
        <v>6</v>
      </c>
    </row>
    <row r="169" spans="2:16" ht="12" customHeight="1">
      <c r="B169" s="14" t="s">
        <v>76</v>
      </c>
      <c r="C169" s="3">
        <f t="shared" si="18"/>
        <v>26</v>
      </c>
      <c r="D169" s="3">
        <v>23</v>
      </c>
      <c r="E169" s="3">
        <v>3</v>
      </c>
      <c r="I169" s="3">
        <v>1</v>
      </c>
      <c r="K169" s="3">
        <v>6</v>
      </c>
      <c r="N169" s="19">
        <f t="shared" si="19"/>
        <v>19</v>
      </c>
      <c r="P169" s="17">
        <v>7</v>
      </c>
    </row>
    <row r="170" spans="2:18" ht="12" customHeight="1">
      <c r="B170" s="14" t="s">
        <v>77</v>
      </c>
      <c r="C170" s="3">
        <f t="shared" si="18"/>
        <v>66</v>
      </c>
      <c r="D170" s="3">
        <v>58</v>
      </c>
      <c r="E170" s="3">
        <v>8</v>
      </c>
      <c r="G170" s="3">
        <v>1</v>
      </c>
      <c r="H170" s="3">
        <v>1</v>
      </c>
      <c r="I170" s="3">
        <v>1</v>
      </c>
      <c r="K170" s="3">
        <v>1</v>
      </c>
      <c r="L170" s="3">
        <v>1</v>
      </c>
      <c r="N170" s="19">
        <f t="shared" si="19"/>
        <v>44</v>
      </c>
      <c r="P170" s="17">
        <v>22</v>
      </c>
      <c r="R170" s="3">
        <v>5</v>
      </c>
    </row>
    <row r="171" spans="2:18" ht="12" customHeight="1">
      <c r="B171" s="14" t="s">
        <v>78</v>
      </c>
      <c r="C171" s="3">
        <f t="shared" si="18"/>
        <v>242</v>
      </c>
      <c r="D171" s="3">
        <v>153</v>
      </c>
      <c r="E171" s="3">
        <v>89</v>
      </c>
      <c r="G171" s="3">
        <v>1</v>
      </c>
      <c r="H171" s="3">
        <v>10</v>
      </c>
      <c r="I171" s="3">
        <v>9</v>
      </c>
      <c r="K171" s="3">
        <v>9</v>
      </c>
      <c r="L171" s="3">
        <v>2</v>
      </c>
      <c r="N171" s="19">
        <f t="shared" si="19"/>
        <v>186</v>
      </c>
      <c r="P171" s="17">
        <f>29+27</f>
        <v>56</v>
      </c>
      <c r="R171" s="3">
        <v>2</v>
      </c>
    </row>
    <row r="172" spans="2:18" ht="12" customHeight="1">
      <c r="B172" s="14" t="s">
        <v>79</v>
      </c>
      <c r="C172" s="3">
        <f t="shared" si="18"/>
        <v>131</v>
      </c>
      <c r="D172" s="3">
        <v>52</v>
      </c>
      <c r="E172" s="3">
        <v>79</v>
      </c>
      <c r="H172" s="3">
        <v>4</v>
      </c>
      <c r="I172" s="3">
        <v>5</v>
      </c>
      <c r="K172" s="3">
        <v>2</v>
      </c>
      <c r="N172" s="19">
        <f t="shared" si="19"/>
        <v>97</v>
      </c>
      <c r="P172" s="17">
        <f>11+23</f>
        <v>34</v>
      </c>
      <c r="R172" s="3">
        <v>2</v>
      </c>
    </row>
    <row r="173" spans="2:18" ht="12" customHeight="1">
      <c r="B173" s="14" t="s">
        <v>80</v>
      </c>
      <c r="C173" s="3">
        <f t="shared" si="18"/>
        <v>31</v>
      </c>
      <c r="D173" s="3">
        <v>10</v>
      </c>
      <c r="E173" s="3">
        <v>21</v>
      </c>
      <c r="I173" s="3">
        <v>1</v>
      </c>
      <c r="K173" s="3">
        <v>2</v>
      </c>
      <c r="N173" s="19">
        <f t="shared" si="19"/>
        <v>15</v>
      </c>
      <c r="P173" s="17">
        <v>16</v>
      </c>
      <c r="R173" s="3">
        <v>1</v>
      </c>
    </row>
    <row r="174" spans="2:18" ht="12" customHeight="1">
      <c r="B174" s="14" t="s">
        <v>100</v>
      </c>
      <c r="C174" s="3">
        <f t="shared" si="18"/>
        <v>157</v>
      </c>
      <c r="D174" s="3">
        <v>147</v>
      </c>
      <c r="E174" s="3">
        <v>10</v>
      </c>
      <c r="H174" s="3">
        <v>1</v>
      </c>
      <c r="I174" s="3">
        <v>3</v>
      </c>
      <c r="K174" s="3">
        <v>3</v>
      </c>
      <c r="L174" s="3">
        <v>1</v>
      </c>
      <c r="N174" s="19">
        <f t="shared" si="19"/>
        <v>106</v>
      </c>
      <c r="P174" s="17">
        <f>48+3</f>
        <v>51</v>
      </c>
      <c r="R174" s="3">
        <v>29</v>
      </c>
    </row>
    <row r="175" spans="2:18" ht="12" customHeight="1">
      <c r="B175" s="14" t="s">
        <v>156</v>
      </c>
      <c r="C175" s="3">
        <f t="shared" si="18"/>
        <v>247</v>
      </c>
      <c r="D175" s="3">
        <v>86</v>
      </c>
      <c r="E175" s="3">
        <v>161</v>
      </c>
      <c r="G175" s="3">
        <v>1</v>
      </c>
      <c r="H175" s="3">
        <v>8</v>
      </c>
      <c r="I175" s="3">
        <v>6</v>
      </c>
      <c r="K175" s="3">
        <v>8</v>
      </c>
      <c r="L175" s="3">
        <v>5</v>
      </c>
      <c r="N175" s="19">
        <f t="shared" si="19"/>
        <v>178</v>
      </c>
      <c r="P175" s="17">
        <f>23+46</f>
        <v>69</v>
      </c>
      <c r="R175" s="3">
        <v>8</v>
      </c>
    </row>
    <row r="176" spans="2:16" ht="12" customHeight="1">
      <c r="B176" s="14" t="s">
        <v>157</v>
      </c>
      <c r="C176" s="3">
        <f t="shared" si="18"/>
        <v>61</v>
      </c>
      <c r="D176" s="3">
        <v>19</v>
      </c>
      <c r="E176" s="3">
        <v>42</v>
      </c>
      <c r="G176" s="3">
        <v>1</v>
      </c>
      <c r="H176" s="3">
        <v>8</v>
      </c>
      <c r="I176" s="3">
        <v>4</v>
      </c>
      <c r="K176" s="3">
        <v>5</v>
      </c>
      <c r="L176" s="3">
        <v>1</v>
      </c>
      <c r="N176" s="19">
        <f t="shared" si="19"/>
        <v>42</v>
      </c>
      <c r="P176" s="17">
        <v>19</v>
      </c>
    </row>
    <row r="177" spans="2:18" ht="12" customHeight="1">
      <c r="B177" s="14" t="s">
        <v>81</v>
      </c>
      <c r="C177" s="3">
        <f t="shared" si="18"/>
        <v>27</v>
      </c>
      <c r="D177" s="3">
        <v>13</v>
      </c>
      <c r="E177" s="3">
        <v>14</v>
      </c>
      <c r="H177" s="3">
        <v>5</v>
      </c>
      <c r="K177" s="3">
        <v>1</v>
      </c>
      <c r="N177" s="19">
        <f t="shared" si="19"/>
        <v>22</v>
      </c>
      <c r="P177" s="17">
        <v>5</v>
      </c>
      <c r="R177" s="3">
        <v>1</v>
      </c>
    </row>
    <row r="178" spans="2:18" ht="12" customHeight="1">
      <c r="B178" s="14" t="s">
        <v>158</v>
      </c>
      <c r="C178" s="3">
        <f t="shared" si="18"/>
        <v>74</v>
      </c>
      <c r="D178" s="3">
        <v>22</v>
      </c>
      <c r="E178" s="3">
        <v>52</v>
      </c>
      <c r="H178" s="3">
        <v>3</v>
      </c>
      <c r="I178" s="3">
        <v>6</v>
      </c>
      <c r="K178" s="3">
        <v>2</v>
      </c>
      <c r="L178" s="3">
        <v>2</v>
      </c>
      <c r="N178" s="19">
        <f t="shared" si="19"/>
        <v>52</v>
      </c>
      <c r="P178" s="17">
        <v>22</v>
      </c>
      <c r="R178" s="3">
        <v>1</v>
      </c>
    </row>
    <row r="179" spans="2:18" ht="12" customHeight="1">
      <c r="B179" s="14" t="s">
        <v>82</v>
      </c>
      <c r="C179" s="3">
        <f t="shared" si="18"/>
        <v>561</v>
      </c>
      <c r="D179" s="3">
        <v>198</v>
      </c>
      <c r="E179" s="3">
        <v>363</v>
      </c>
      <c r="G179" s="3">
        <v>2</v>
      </c>
      <c r="H179" s="3">
        <f>8+19</f>
        <v>27</v>
      </c>
      <c r="I179" s="3">
        <v>15</v>
      </c>
      <c r="K179" s="3">
        <f>8+18</f>
        <v>26</v>
      </c>
      <c r="L179" s="3">
        <v>3</v>
      </c>
      <c r="N179" s="19">
        <f t="shared" si="19"/>
        <v>458</v>
      </c>
      <c r="P179" s="17">
        <f>26+77</f>
        <v>103</v>
      </c>
      <c r="R179" s="3">
        <v>5</v>
      </c>
    </row>
    <row r="180" spans="2:16" ht="12" customHeight="1">
      <c r="B180" s="14" t="s">
        <v>83</v>
      </c>
      <c r="C180" s="3">
        <f t="shared" si="18"/>
        <v>17</v>
      </c>
      <c r="D180" s="3">
        <v>11</v>
      </c>
      <c r="E180" s="3">
        <v>6</v>
      </c>
      <c r="H180" s="3">
        <v>1</v>
      </c>
      <c r="I180" s="3">
        <v>2</v>
      </c>
      <c r="N180" s="19">
        <f t="shared" si="19"/>
        <v>15</v>
      </c>
      <c r="P180" s="17">
        <v>2</v>
      </c>
    </row>
    <row r="181" spans="2:16" ht="12" customHeight="1">
      <c r="B181" s="14" t="s">
        <v>99</v>
      </c>
      <c r="C181" s="3">
        <f t="shared" si="18"/>
        <v>5</v>
      </c>
      <c r="D181" s="3">
        <v>1</v>
      </c>
      <c r="E181" s="3">
        <v>4</v>
      </c>
      <c r="N181" s="19">
        <f t="shared" si="19"/>
        <v>4</v>
      </c>
      <c r="P181" s="17">
        <v>1</v>
      </c>
    </row>
    <row r="182" spans="2:18" ht="12" customHeight="1">
      <c r="B182" s="14" t="s">
        <v>202</v>
      </c>
      <c r="C182" s="3">
        <f t="shared" si="18"/>
        <v>114</v>
      </c>
      <c r="D182" s="3">
        <v>40</v>
      </c>
      <c r="E182" s="3">
        <v>74</v>
      </c>
      <c r="G182" s="3">
        <v>1</v>
      </c>
      <c r="H182" s="3">
        <v>10</v>
      </c>
      <c r="I182" s="3">
        <v>6</v>
      </c>
      <c r="K182" s="3">
        <v>9</v>
      </c>
      <c r="N182" s="19">
        <f t="shared" si="19"/>
        <v>95</v>
      </c>
      <c r="P182" s="17">
        <v>19</v>
      </c>
      <c r="R182" s="3">
        <v>1</v>
      </c>
    </row>
    <row r="183" spans="2:18" ht="12" customHeight="1">
      <c r="B183" s="14" t="s">
        <v>203</v>
      </c>
      <c r="C183" s="3">
        <f t="shared" si="18"/>
        <v>56</v>
      </c>
      <c r="D183" s="3">
        <v>53</v>
      </c>
      <c r="E183" s="3">
        <v>3</v>
      </c>
      <c r="H183" s="3">
        <v>2</v>
      </c>
      <c r="I183" s="3">
        <v>4</v>
      </c>
      <c r="K183" s="3">
        <v>2</v>
      </c>
      <c r="N183" s="19">
        <f t="shared" si="19"/>
        <v>41</v>
      </c>
      <c r="P183" s="17">
        <v>15</v>
      </c>
      <c r="R183" s="3">
        <v>1</v>
      </c>
    </row>
    <row r="184" spans="2:18" ht="12" customHeight="1">
      <c r="B184" s="14" t="s">
        <v>84</v>
      </c>
      <c r="C184" s="3">
        <f t="shared" si="18"/>
        <v>49</v>
      </c>
      <c r="D184" s="3">
        <v>12</v>
      </c>
      <c r="E184" s="3">
        <v>37</v>
      </c>
      <c r="H184" s="3">
        <v>2</v>
      </c>
      <c r="K184" s="3">
        <v>10</v>
      </c>
      <c r="L184" s="3">
        <v>1</v>
      </c>
      <c r="N184" s="19">
        <f t="shared" si="19"/>
        <v>39</v>
      </c>
      <c r="P184" s="17">
        <v>10</v>
      </c>
      <c r="R184" s="3">
        <v>1</v>
      </c>
    </row>
    <row r="185" spans="2:16" ht="12" customHeight="1">
      <c r="B185" s="14" t="s">
        <v>85</v>
      </c>
      <c r="C185" s="3">
        <f t="shared" si="18"/>
        <v>42</v>
      </c>
      <c r="D185" s="3">
        <v>17</v>
      </c>
      <c r="E185" s="3">
        <v>25</v>
      </c>
      <c r="H185" s="3">
        <v>3</v>
      </c>
      <c r="N185" s="19">
        <f t="shared" si="19"/>
        <v>31</v>
      </c>
      <c r="P185" s="17">
        <v>11</v>
      </c>
    </row>
    <row r="186" spans="2:18" ht="12" customHeight="1">
      <c r="B186" s="14" t="s">
        <v>86</v>
      </c>
      <c r="C186" s="3">
        <f t="shared" si="18"/>
        <v>59</v>
      </c>
      <c r="D186" s="3">
        <v>28</v>
      </c>
      <c r="E186" s="3">
        <v>31</v>
      </c>
      <c r="G186" s="3">
        <v>1</v>
      </c>
      <c r="I186" s="3">
        <v>6</v>
      </c>
      <c r="K186" s="3">
        <v>1</v>
      </c>
      <c r="N186" s="19">
        <f t="shared" si="19"/>
        <v>19</v>
      </c>
      <c r="P186" s="17">
        <f>16+24</f>
        <v>40</v>
      </c>
      <c r="R186" s="3">
        <f>14+22</f>
        <v>36</v>
      </c>
    </row>
    <row r="187" spans="2:16" ht="12" customHeight="1">
      <c r="B187" s="14" t="s">
        <v>101</v>
      </c>
      <c r="C187" s="3">
        <f t="shared" si="18"/>
        <v>20</v>
      </c>
      <c r="D187" s="3">
        <v>6</v>
      </c>
      <c r="E187" s="3">
        <v>14</v>
      </c>
      <c r="I187" s="3">
        <v>1</v>
      </c>
      <c r="N187" s="19">
        <f t="shared" si="19"/>
        <v>16</v>
      </c>
      <c r="P187" s="17">
        <v>4</v>
      </c>
    </row>
    <row r="188" spans="2:18" ht="12" customHeight="1">
      <c r="B188" s="14" t="s">
        <v>87</v>
      </c>
      <c r="C188" s="3">
        <f t="shared" si="18"/>
        <v>12</v>
      </c>
      <c r="D188" s="3">
        <v>0</v>
      </c>
      <c r="E188" s="3">
        <v>12</v>
      </c>
      <c r="N188" s="19">
        <f t="shared" si="19"/>
        <v>10</v>
      </c>
      <c r="P188" s="17">
        <v>2</v>
      </c>
      <c r="R188" s="3">
        <v>1</v>
      </c>
    </row>
    <row r="189" spans="2:16" ht="12" customHeight="1">
      <c r="B189" s="14" t="s">
        <v>204</v>
      </c>
      <c r="C189" s="3">
        <f t="shared" si="18"/>
        <v>21</v>
      </c>
      <c r="D189" s="3">
        <v>10</v>
      </c>
      <c r="E189" s="3">
        <v>11</v>
      </c>
      <c r="K189" s="3">
        <v>3</v>
      </c>
      <c r="N189" s="19">
        <f t="shared" si="19"/>
        <v>17</v>
      </c>
      <c r="P189" s="3">
        <v>4</v>
      </c>
    </row>
    <row r="191" spans="1:18" ht="12.75">
      <c r="A191" s="9" t="s">
        <v>4</v>
      </c>
      <c r="C191" s="3">
        <f>SUM(C138:C190)</f>
        <v>6146</v>
      </c>
      <c r="D191" s="3">
        <f>SUM(D138:D190)</f>
        <v>3100</v>
      </c>
      <c r="E191" s="3">
        <f aca="true" t="shared" si="20" ref="E191:L191">SUM(E138:E189)</f>
        <v>3046</v>
      </c>
      <c r="F191" s="3">
        <f t="shared" si="20"/>
        <v>0</v>
      </c>
      <c r="G191" s="3">
        <f t="shared" si="20"/>
        <v>20</v>
      </c>
      <c r="H191" s="3">
        <f t="shared" si="20"/>
        <v>230</v>
      </c>
      <c r="I191" s="3">
        <f t="shared" si="20"/>
        <v>222</v>
      </c>
      <c r="J191" s="3">
        <f t="shared" si="20"/>
        <v>2</v>
      </c>
      <c r="K191" s="3">
        <f t="shared" si="20"/>
        <v>205</v>
      </c>
      <c r="L191" s="3">
        <f t="shared" si="20"/>
        <v>57</v>
      </c>
      <c r="N191" s="19">
        <f>SUM(N138:N190)</f>
        <v>4515</v>
      </c>
      <c r="P191" s="3">
        <f>SUM(P138:P189)</f>
        <v>1631</v>
      </c>
      <c r="R191" s="3">
        <f>SUM(R138:R189)</f>
        <v>457</v>
      </c>
    </row>
    <row r="193" spans="1:18" ht="12.75">
      <c r="A193" s="2" t="s">
        <v>174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2"/>
      <c r="O193" s="2"/>
      <c r="P193" s="2"/>
      <c r="Q193" s="2"/>
      <c r="R193" s="2"/>
    </row>
    <row r="195" spans="7:18" ht="12.75">
      <c r="G195" s="26" t="s">
        <v>1</v>
      </c>
      <c r="H195" s="26"/>
      <c r="I195" s="26"/>
      <c r="J195" s="26"/>
      <c r="K195" s="26"/>
      <c r="L195" s="26"/>
      <c r="P195" s="5" t="s">
        <v>2</v>
      </c>
      <c r="R195" s="5" t="s">
        <v>3</v>
      </c>
    </row>
    <row r="196" spans="3:18" ht="12.75">
      <c r="C196" s="7" t="s">
        <v>4</v>
      </c>
      <c r="D196" s="7" t="s">
        <v>5</v>
      </c>
      <c r="E196" s="7" t="s">
        <v>6</v>
      </c>
      <c r="F196" s="6"/>
      <c r="G196" s="7" t="s">
        <v>7</v>
      </c>
      <c r="H196" s="7" t="s">
        <v>8</v>
      </c>
      <c r="I196" s="7" t="s">
        <v>9</v>
      </c>
      <c r="J196" s="7">
        <v>5</v>
      </c>
      <c r="K196" s="7">
        <v>6</v>
      </c>
      <c r="L196" s="7">
        <v>7</v>
      </c>
      <c r="M196" s="6"/>
      <c r="N196" s="21" t="s">
        <v>10</v>
      </c>
      <c r="O196" s="6"/>
      <c r="P196" s="8" t="s">
        <v>11</v>
      </c>
      <c r="Q196" s="6"/>
      <c r="R196" s="8" t="s">
        <v>12</v>
      </c>
    </row>
    <row r="198" spans="1:18" ht="12.75">
      <c r="A198" s="9" t="s">
        <v>91</v>
      </c>
      <c r="C198" s="3">
        <f aca="true" t="shared" si="21" ref="C198:N198">C41+C63+C84+C106+C129+C191</f>
        <v>22521</v>
      </c>
      <c r="D198" s="3">
        <f t="shared" si="21"/>
        <v>12731</v>
      </c>
      <c r="E198" s="3">
        <f t="shared" si="21"/>
        <v>9790</v>
      </c>
      <c r="F198" s="3">
        <f t="shared" si="21"/>
        <v>0</v>
      </c>
      <c r="G198" s="3">
        <f t="shared" si="21"/>
        <v>52</v>
      </c>
      <c r="H198" s="3">
        <f t="shared" si="21"/>
        <v>582</v>
      </c>
      <c r="I198" s="3">
        <f t="shared" si="21"/>
        <v>682</v>
      </c>
      <c r="J198" s="3">
        <f t="shared" si="21"/>
        <v>7</v>
      </c>
      <c r="K198" s="3">
        <f t="shared" si="21"/>
        <v>667</v>
      </c>
      <c r="L198" s="3">
        <f t="shared" si="21"/>
        <v>145</v>
      </c>
      <c r="M198" s="3">
        <f t="shared" si="21"/>
        <v>0</v>
      </c>
      <c r="N198" s="19">
        <f t="shared" si="21"/>
        <v>16164</v>
      </c>
      <c r="P198" s="3">
        <f>P41+P63+P84+P106+P129+P191</f>
        <v>6357</v>
      </c>
      <c r="R198" s="3">
        <f>R41+R63+R84+R106+R129+R191</f>
        <v>1454</v>
      </c>
    </row>
    <row r="205" spans="1:3" ht="12.75">
      <c r="A205" s="9" t="s">
        <v>92</v>
      </c>
      <c r="B205" s="11"/>
      <c r="C205" s="11"/>
    </row>
    <row r="206" spans="2:3" ht="12.75">
      <c r="B206" s="9" t="s">
        <v>93</v>
      </c>
      <c r="C206" s="11"/>
    </row>
    <row r="207" spans="2:3" ht="12.75">
      <c r="B207" s="9" t="s">
        <v>94</v>
      </c>
      <c r="C207" s="11"/>
    </row>
    <row r="208" spans="2:3" ht="12.75">
      <c r="B208" s="9" t="s">
        <v>226</v>
      </c>
      <c r="C208" s="11"/>
    </row>
    <row r="209" spans="2:3" ht="12.75">
      <c r="B209" s="9" t="s">
        <v>227</v>
      </c>
      <c r="C209" s="11"/>
    </row>
    <row r="210" spans="2:3" ht="12.75">
      <c r="B210" s="9" t="s">
        <v>228</v>
      </c>
      <c r="C210" s="11"/>
    </row>
    <row r="211" spans="2:3" ht="12.75">
      <c r="B211" s="25" t="s">
        <v>229</v>
      </c>
      <c r="C211" s="11"/>
    </row>
    <row r="212" spans="2:3" ht="12.75">
      <c r="B212" s="11"/>
      <c r="C212" s="11"/>
    </row>
    <row r="213" spans="1:3" ht="12.75">
      <c r="A213" s="9" t="s">
        <v>95</v>
      </c>
      <c r="B213" s="11"/>
      <c r="C213" s="11"/>
    </row>
    <row r="215" ht="12.75">
      <c r="A215" s="16"/>
    </row>
    <row r="216" ht="12.75">
      <c r="A216" s="17"/>
    </row>
  </sheetData>
  <sheetProtection/>
  <mergeCells count="8">
    <mergeCell ref="G109:L109"/>
    <mergeCell ref="G136:L136"/>
    <mergeCell ref="G195:L195"/>
    <mergeCell ref="A3:R3"/>
    <mergeCell ref="G6:L6"/>
    <mergeCell ref="G49:L49"/>
    <mergeCell ref="G67:L67"/>
    <mergeCell ref="G90:L90"/>
  </mergeCells>
  <printOptions horizontalCentered="1"/>
  <pageMargins left="0.4" right="0.4" top="0.75" bottom="0.5" header="0.5" footer="0.5"/>
  <pageSetup fitToHeight="0" horizontalDpi="300" verticalDpi="300" orientation="portrait" scale="89" r:id="rId1"/>
  <headerFooter alignWithMargins="0">
    <oddHeader>&amp;R&amp;"Times New Roman,Regular"Page &amp;P</oddHeader>
  </headerFooter>
  <rowBreaks count="4" manualBreakCount="4">
    <brk id="46" max="16" man="1"/>
    <brk id="87" max="16" man="1"/>
    <brk id="133" max="16" man="1"/>
    <brk id="1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showGridLines="0" zoomScale="140" zoomScaleNormal="140" zoomScaleSheetLayoutView="100" zoomScalePageLayoutView="0" workbookViewId="0" topLeftCell="A1">
      <selection activeCell="T1" sqref="T1:U16384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11" width="4.28125" style="3" customWidth="1"/>
    <col min="12" max="12" width="4.57421875" style="3" customWidth="1"/>
    <col min="13" max="13" width="1.1484375" style="3" customWidth="1"/>
    <col min="14" max="14" width="5.7109375" style="3" customWidth="1"/>
    <col min="15" max="15" width="2.7109375" style="3" customWidth="1"/>
    <col min="16" max="16" width="5.140625" style="3" customWidth="1"/>
    <col min="17" max="17" width="2.7109375" style="3" customWidth="1"/>
    <col min="18" max="18" width="4.7109375" style="3" customWidth="1"/>
    <col min="19" max="19" width="2.28125" style="3" customWidth="1"/>
    <col min="20" max="16384" width="9.7109375" style="3" customWidth="1"/>
  </cols>
  <sheetData>
    <row r="1" spans="1:19" ht="15.75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5" spans="7:18" ht="12.75">
      <c r="G5" s="26" t="s">
        <v>1</v>
      </c>
      <c r="H5" s="26"/>
      <c r="I5" s="26"/>
      <c r="J5" s="26"/>
      <c r="K5" s="26"/>
      <c r="L5" s="26"/>
      <c r="P5" s="5" t="s">
        <v>2</v>
      </c>
      <c r="R5" s="5" t="s">
        <v>3</v>
      </c>
    </row>
    <row r="6" spans="1:18" ht="12.75">
      <c r="A6" s="4" t="s">
        <v>88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8" t="s">
        <v>10</v>
      </c>
      <c r="O6" s="6"/>
      <c r="P6" s="8" t="s">
        <v>11</v>
      </c>
      <c r="Q6" s="6"/>
      <c r="R6" s="8" t="s">
        <v>12</v>
      </c>
    </row>
    <row r="7" spans="2:16" ht="12" customHeight="1">
      <c r="B7" s="9" t="s">
        <v>89</v>
      </c>
      <c r="C7" s="3">
        <f>D7+E7</f>
        <v>1</v>
      </c>
      <c r="D7" s="3">
        <v>0</v>
      </c>
      <c r="E7" s="3">
        <v>1</v>
      </c>
      <c r="N7" s="3">
        <f>(C7-P7)</f>
        <v>1</v>
      </c>
      <c r="P7" s="3">
        <v>0</v>
      </c>
    </row>
    <row r="8" spans="2:18" ht="12" customHeight="1">
      <c r="B8" s="9" t="s">
        <v>90</v>
      </c>
      <c r="C8" s="3">
        <f>D8+E8</f>
        <v>513</v>
      </c>
      <c r="D8" s="3">
        <v>138</v>
      </c>
      <c r="E8" s="3">
        <v>375</v>
      </c>
      <c r="G8" s="3">
        <v>1</v>
      </c>
      <c r="I8" s="3">
        <v>2</v>
      </c>
      <c r="K8" s="3">
        <v>10</v>
      </c>
      <c r="L8" s="3">
        <v>1</v>
      </c>
      <c r="N8" s="3">
        <f>(C8-P8)</f>
        <v>266</v>
      </c>
      <c r="P8" s="3">
        <f>55+192</f>
        <v>247</v>
      </c>
      <c r="R8" s="3">
        <v>4</v>
      </c>
    </row>
    <row r="9" spans="2:16" ht="12" customHeight="1">
      <c r="B9" s="9" t="s">
        <v>160</v>
      </c>
      <c r="C9" s="3">
        <f>D9+E9</f>
        <v>50</v>
      </c>
      <c r="D9" s="3">
        <v>13</v>
      </c>
      <c r="E9" s="3">
        <v>37</v>
      </c>
      <c r="L9" s="3">
        <v>1</v>
      </c>
      <c r="N9" s="3">
        <f>(C9-P9)</f>
        <v>0</v>
      </c>
      <c r="P9" s="3">
        <f>13+37</f>
        <v>50</v>
      </c>
    </row>
    <row r="11" spans="1:18" ht="12.75">
      <c r="A11" s="9" t="s">
        <v>4</v>
      </c>
      <c r="C11" s="3">
        <f>SUM(C7:C9)</f>
        <v>564</v>
      </c>
      <c r="D11" s="3">
        <f aca="true" t="shared" si="0" ref="D11:R11">SUM(D7:D9)</f>
        <v>151</v>
      </c>
      <c r="E11" s="3">
        <f t="shared" si="0"/>
        <v>413</v>
      </c>
      <c r="F11" s="3">
        <f t="shared" si="0"/>
        <v>0</v>
      </c>
      <c r="G11" s="3">
        <f t="shared" si="0"/>
        <v>1</v>
      </c>
      <c r="H11" s="3">
        <f t="shared" si="0"/>
        <v>0</v>
      </c>
      <c r="I11" s="3">
        <f t="shared" si="0"/>
        <v>2</v>
      </c>
      <c r="J11" s="3">
        <f t="shared" si="0"/>
        <v>0</v>
      </c>
      <c r="K11" s="3">
        <f t="shared" si="0"/>
        <v>10</v>
      </c>
      <c r="L11" s="3">
        <f t="shared" si="0"/>
        <v>2</v>
      </c>
      <c r="M11" s="3">
        <f t="shared" si="0"/>
        <v>0</v>
      </c>
      <c r="N11" s="3">
        <f t="shared" si="0"/>
        <v>267</v>
      </c>
      <c r="P11" s="3">
        <f t="shared" si="0"/>
        <v>297</v>
      </c>
      <c r="R11" s="3">
        <f t="shared" si="0"/>
        <v>4</v>
      </c>
    </row>
    <row r="21" spans="1:3" ht="12.75">
      <c r="A21" s="9" t="s">
        <v>92</v>
      </c>
      <c r="B21" s="11"/>
      <c r="C21" s="11"/>
    </row>
    <row r="22" spans="2:3" ht="12.75">
      <c r="B22" s="9" t="s">
        <v>93</v>
      </c>
      <c r="C22" s="11"/>
    </row>
    <row r="23" spans="2:3" ht="12.75">
      <c r="B23" s="9" t="s">
        <v>94</v>
      </c>
      <c r="C23" s="11"/>
    </row>
    <row r="24" spans="2:3" ht="12.75">
      <c r="B24" s="9" t="s">
        <v>226</v>
      </c>
      <c r="C24" s="11"/>
    </row>
    <row r="25" spans="2:3" ht="12.75">
      <c r="B25" s="9" t="s">
        <v>227</v>
      </c>
      <c r="C25" s="11"/>
    </row>
    <row r="26" spans="2:3" ht="12.75">
      <c r="B26" s="9" t="s">
        <v>228</v>
      </c>
      <c r="C26" s="11"/>
    </row>
    <row r="27" spans="2:3" ht="12.75">
      <c r="B27" s="25" t="s">
        <v>229</v>
      </c>
      <c r="C27" s="11"/>
    </row>
    <row r="28" spans="2:3" ht="12.75">
      <c r="B28" s="11"/>
      <c r="C28" s="11"/>
    </row>
    <row r="29" spans="1:3" ht="12.75">
      <c r="A29" s="9" t="s">
        <v>95</v>
      </c>
      <c r="B29" s="11"/>
      <c r="C29" s="11"/>
    </row>
    <row r="48" ht="12.75">
      <c r="A48" s="9"/>
    </row>
    <row r="49" ht="12.75">
      <c r="A49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160"/>
  <sheetViews>
    <sheetView showGridLines="0" zoomScale="140" zoomScaleNormal="140" zoomScaleSheetLayoutView="100" zoomScalePageLayoutView="0" workbookViewId="0" topLeftCell="A1">
      <selection activeCell="B3" sqref="B3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5.0039062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2" width="3.7109375" style="3" customWidth="1"/>
    <col min="13" max="13" width="2.7109375" style="3" customWidth="1"/>
    <col min="14" max="14" width="4.7109375" style="19" customWidth="1"/>
    <col min="15" max="15" width="3.7109375" style="3" customWidth="1"/>
    <col min="16" max="16" width="4.7109375" style="3" customWidth="1"/>
    <col min="17" max="17" width="3.7109375" style="3" customWidth="1"/>
    <col min="18" max="18" width="4.7109375" style="3" customWidth="1"/>
    <col min="19" max="19" width="2.28125" style="3" customWidth="1"/>
    <col min="20" max="16384" width="9.7109375" style="3" customWidth="1"/>
  </cols>
  <sheetData>
    <row r="1" spans="1:19" ht="15.75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1"/>
      <c r="P1" s="1"/>
      <c r="Q1" s="1"/>
      <c r="R1" s="1"/>
      <c r="S1" s="1"/>
    </row>
    <row r="2" spans="1:19" ht="16.5" customHeight="1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"/>
      <c r="O2" s="1"/>
      <c r="P2" s="1"/>
      <c r="Q2" s="1"/>
      <c r="R2" s="1"/>
      <c r="S2" s="1"/>
    </row>
    <row r="5" spans="7:18" ht="12.75">
      <c r="G5" s="26" t="s">
        <v>1</v>
      </c>
      <c r="H5" s="26"/>
      <c r="I5" s="26"/>
      <c r="J5" s="26"/>
      <c r="K5" s="26"/>
      <c r="L5" s="26"/>
      <c r="P5" s="5" t="s">
        <v>2</v>
      </c>
      <c r="R5" s="5" t="s">
        <v>3</v>
      </c>
    </row>
    <row r="6" spans="1:18" ht="12.75">
      <c r="A6" s="4" t="s">
        <v>231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21" t="s">
        <v>10</v>
      </c>
      <c r="O6" s="6"/>
      <c r="P6" s="8" t="s">
        <v>11</v>
      </c>
      <c r="Q6" s="6"/>
      <c r="R6" s="8" t="s">
        <v>12</v>
      </c>
    </row>
    <row r="7" spans="1:18" ht="12.75">
      <c r="A7" s="9"/>
      <c r="B7" s="3" t="s">
        <v>225</v>
      </c>
      <c r="C7" s="3">
        <f aca="true" t="shared" si="0" ref="C7:C22">D7+E7</f>
        <v>25</v>
      </c>
      <c r="D7" s="12">
        <v>20</v>
      </c>
      <c r="E7" s="12">
        <v>5</v>
      </c>
      <c r="G7" s="12">
        <v>1</v>
      </c>
      <c r="H7" s="12">
        <v>1</v>
      </c>
      <c r="I7" s="12"/>
      <c r="J7" s="12"/>
      <c r="K7" s="12"/>
      <c r="L7" s="12"/>
      <c r="N7" s="19">
        <f aca="true" t="shared" si="1" ref="N7:N22">(C7-P7)</f>
        <v>13</v>
      </c>
      <c r="P7" s="12">
        <v>12</v>
      </c>
      <c r="R7" s="19">
        <v>5</v>
      </c>
    </row>
    <row r="8" spans="2:18" ht="12" customHeight="1">
      <c r="B8" s="9" t="s">
        <v>205</v>
      </c>
      <c r="C8" s="3">
        <f t="shared" si="0"/>
        <v>32</v>
      </c>
      <c r="D8" s="3">
        <v>15</v>
      </c>
      <c r="E8" s="3">
        <v>17</v>
      </c>
      <c r="H8" s="3">
        <v>2</v>
      </c>
      <c r="N8" s="19">
        <f t="shared" si="1"/>
        <v>21</v>
      </c>
      <c r="P8" s="3">
        <v>11</v>
      </c>
      <c r="R8" s="3">
        <v>2</v>
      </c>
    </row>
    <row r="9" spans="2:18" ht="12" customHeight="1">
      <c r="B9" s="9" t="s">
        <v>16</v>
      </c>
      <c r="C9" s="3">
        <f t="shared" si="0"/>
        <v>205</v>
      </c>
      <c r="D9" s="3">
        <v>147</v>
      </c>
      <c r="E9" s="3">
        <v>58</v>
      </c>
      <c r="H9" s="3">
        <v>4</v>
      </c>
      <c r="I9" s="3">
        <v>5</v>
      </c>
      <c r="K9" s="3">
        <v>3</v>
      </c>
      <c r="N9" s="19">
        <f t="shared" si="1"/>
        <v>82</v>
      </c>
      <c r="P9" s="3">
        <f>+86+37</f>
        <v>123</v>
      </c>
      <c r="R9" s="3">
        <f>26+12</f>
        <v>38</v>
      </c>
    </row>
    <row r="10" spans="2:18" ht="12" customHeight="1">
      <c r="B10" s="9" t="s">
        <v>18</v>
      </c>
      <c r="C10" s="3">
        <f t="shared" si="0"/>
        <v>92</v>
      </c>
      <c r="D10" s="3">
        <v>50</v>
      </c>
      <c r="E10" s="3">
        <v>42</v>
      </c>
      <c r="H10" s="3">
        <v>4</v>
      </c>
      <c r="I10" s="3">
        <v>1</v>
      </c>
      <c r="K10" s="3">
        <v>1</v>
      </c>
      <c r="N10" s="19">
        <f t="shared" si="1"/>
        <v>40</v>
      </c>
      <c r="P10" s="3">
        <f>24+28</f>
        <v>52</v>
      </c>
      <c r="R10" s="3">
        <f>16+12</f>
        <v>28</v>
      </c>
    </row>
    <row r="11" spans="2:18" ht="12" customHeight="1">
      <c r="B11" s="9" t="s">
        <v>111</v>
      </c>
      <c r="C11" s="3">
        <f t="shared" si="0"/>
        <v>43</v>
      </c>
      <c r="D11" s="3">
        <v>29</v>
      </c>
      <c r="E11" s="3">
        <v>14</v>
      </c>
      <c r="H11" s="3">
        <v>1</v>
      </c>
      <c r="I11" s="3">
        <v>1</v>
      </c>
      <c r="N11" s="19">
        <f t="shared" si="1"/>
        <v>17</v>
      </c>
      <c r="P11" s="3">
        <f>18+8</f>
        <v>26</v>
      </c>
      <c r="R11" s="3">
        <f>15+7</f>
        <v>22</v>
      </c>
    </row>
    <row r="12" spans="2:18" ht="12" customHeight="1">
      <c r="B12" s="9" t="s">
        <v>206</v>
      </c>
      <c r="C12" s="3">
        <f t="shared" si="0"/>
        <v>20</v>
      </c>
      <c r="D12" s="3">
        <v>12</v>
      </c>
      <c r="E12" s="3">
        <v>8</v>
      </c>
      <c r="I12" s="3">
        <v>1</v>
      </c>
      <c r="K12" s="3">
        <v>1</v>
      </c>
      <c r="N12" s="24">
        <f t="shared" si="1"/>
        <v>5</v>
      </c>
      <c r="P12" s="3">
        <f>10+5</f>
        <v>15</v>
      </c>
      <c r="R12" s="3">
        <v>3</v>
      </c>
    </row>
    <row r="13" spans="2:18" ht="12" customHeight="1">
      <c r="B13" s="9" t="s">
        <v>207</v>
      </c>
      <c r="C13" s="3">
        <f t="shared" si="0"/>
        <v>43</v>
      </c>
      <c r="D13" s="3">
        <v>27</v>
      </c>
      <c r="E13" s="3">
        <v>16</v>
      </c>
      <c r="I13" s="3">
        <v>1</v>
      </c>
      <c r="N13" s="19">
        <f t="shared" si="1"/>
        <v>3</v>
      </c>
      <c r="P13" s="3">
        <f>25+15</f>
        <v>40</v>
      </c>
      <c r="R13" s="3">
        <f>20+13</f>
        <v>33</v>
      </c>
    </row>
    <row r="14" spans="2:18" ht="12" customHeight="1">
      <c r="B14" s="9" t="s">
        <v>20</v>
      </c>
      <c r="C14" s="3">
        <f t="shared" si="0"/>
        <v>32</v>
      </c>
      <c r="D14" s="3">
        <v>18</v>
      </c>
      <c r="E14" s="3">
        <v>14</v>
      </c>
      <c r="K14" s="3">
        <v>1</v>
      </c>
      <c r="N14" s="19">
        <f t="shared" si="1"/>
        <v>16</v>
      </c>
      <c r="P14" s="3">
        <v>16</v>
      </c>
      <c r="R14" s="3">
        <v>4</v>
      </c>
    </row>
    <row r="15" spans="2:18" ht="12" customHeight="1">
      <c r="B15" s="9" t="s">
        <v>208</v>
      </c>
      <c r="C15" s="3">
        <f t="shared" si="0"/>
        <v>22</v>
      </c>
      <c r="D15" s="3">
        <v>10</v>
      </c>
      <c r="E15" s="3">
        <v>12</v>
      </c>
      <c r="H15" s="3">
        <v>1</v>
      </c>
      <c r="K15" s="3">
        <v>1</v>
      </c>
      <c r="N15" s="19">
        <f t="shared" si="1"/>
        <v>10</v>
      </c>
      <c r="P15" s="3">
        <v>12</v>
      </c>
      <c r="R15" s="3">
        <v>7</v>
      </c>
    </row>
    <row r="16" spans="2:18" ht="12" customHeight="1">
      <c r="B16" s="9" t="s">
        <v>209</v>
      </c>
      <c r="C16" s="3">
        <f t="shared" si="0"/>
        <v>27</v>
      </c>
      <c r="D16" s="3">
        <v>12</v>
      </c>
      <c r="E16" s="3">
        <v>15</v>
      </c>
      <c r="N16" s="19">
        <f t="shared" si="1"/>
        <v>4</v>
      </c>
      <c r="P16" s="3">
        <f>11+12</f>
        <v>23</v>
      </c>
      <c r="R16" s="3">
        <v>20</v>
      </c>
    </row>
    <row r="17" spans="2:18" ht="12" customHeight="1">
      <c r="B17" s="9" t="s">
        <v>24</v>
      </c>
      <c r="C17" s="3">
        <f t="shared" si="0"/>
        <v>25</v>
      </c>
      <c r="D17" s="3">
        <v>15</v>
      </c>
      <c r="E17" s="3">
        <v>10</v>
      </c>
      <c r="H17" s="3">
        <v>1</v>
      </c>
      <c r="L17" s="3">
        <v>1</v>
      </c>
      <c r="N17" s="19">
        <f t="shared" si="1"/>
        <v>10</v>
      </c>
      <c r="P17" s="3">
        <v>15</v>
      </c>
      <c r="R17" s="3">
        <v>6</v>
      </c>
    </row>
    <row r="18" spans="2:18" ht="12" customHeight="1">
      <c r="B18" s="9" t="s">
        <v>25</v>
      </c>
      <c r="C18" s="3">
        <f t="shared" si="0"/>
        <v>7</v>
      </c>
      <c r="D18" s="3">
        <v>3</v>
      </c>
      <c r="E18" s="3">
        <v>4</v>
      </c>
      <c r="I18" s="3">
        <v>1</v>
      </c>
      <c r="N18" s="19">
        <f t="shared" si="1"/>
        <v>2</v>
      </c>
      <c r="P18" s="3">
        <v>5</v>
      </c>
      <c r="R18" s="3">
        <v>2</v>
      </c>
    </row>
    <row r="19" spans="2:18" ht="12" customHeight="1">
      <c r="B19" s="9" t="s">
        <v>132</v>
      </c>
      <c r="C19" s="3">
        <f t="shared" si="0"/>
        <v>44</v>
      </c>
      <c r="D19" s="3">
        <v>28</v>
      </c>
      <c r="E19" s="3">
        <v>16</v>
      </c>
      <c r="K19" s="3">
        <v>2</v>
      </c>
      <c r="L19" s="3">
        <v>1</v>
      </c>
      <c r="N19" s="19">
        <f t="shared" si="1"/>
        <v>15</v>
      </c>
      <c r="P19" s="3">
        <v>29</v>
      </c>
      <c r="R19" s="3">
        <v>7</v>
      </c>
    </row>
    <row r="20" spans="2:18" ht="12" customHeight="1">
      <c r="B20" s="9" t="s">
        <v>103</v>
      </c>
      <c r="C20" s="3">
        <f t="shared" si="0"/>
        <v>53</v>
      </c>
      <c r="D20" s="3">
        <v>26</v>
      </c>
      <c r="E20" s="3">
        <v>27</v>
      </c>
      <c r="H20" s="3">
        <v>2</v>
      </c>
      <c r="I20" s="3">
        <v>1</v>
      </c>
      <c r="N20" s="19">
        <f t="shared" si="1"/>
        <v>19</v>
      </c>
      <c r="P20" s="3">
        <f>16+18</f>
        <v>34</v>
      </c>
      <c r="R20" s="3">
        <v>17</v>
      </c>
    </row>
    <row r="21" spans="2:16" ht="12" customHeight="1">
      <c r="B21" s="9" t="s">
        <v>27</v>
      </c>
      <c r="C21" s="3">
        <f t="shared" si="0"/>
        <v>18</v>
      </c>
      <c r="D21" s="3">
        <v>7</v>
      </c>
      <c r="E21" s="3">
        <v>11</v>
      </c>
      <c r="G21" s="3">
        <v>1</v>
      </c>
      <c r="N21" s="19">
        <f t="shared" si="1"/>
        <v>14</v>
      </c>
      <c r="P21" s="3">
        <v>4</v>
      </c>
    </row>
    <row r="22" spans="2:18" ht="12" customHeight="1">
      <c r="B22" s="9" t="s">
        <v>210</v>
      </c>
      <c r="C22" s="3">
        <f t="shared" si="0"/>
        <v>18</v>
      </c>
      <c r="D22" s="3">
        <v>7</v>
      </c>
      <c r="E22" s="3">
        <v>11</v>
      </c>
      <c r="K22" s="3">
        <v>1</v>
      </c>
      <c r="N22" s="19">
        <f t="shared" si="1"/>
        <v>9</v>
      </c>
      <c r="P22" s="3">
        <v>9</v>
      </c>
      <c r="R22" s="3">
        <v>4</v>
      </c>
    </row>
    <row r="24" spans="1:18" ht="12.75">
      <c r="A24" s="9" t="s">
        <v>4</v>
      </c>
      <c r="C24" s="3">
        <f aca="true" t="shared" si="2" ref="C24:L24">SUM(C7:C22)</f>
        <v>706</v>
      </c>
      <c r="D24" s="3">
        <f t="shared" si="2"/>
        <v>426</v>
      </c>
      <c r="E24" s="3">
        <f t="shared" si="2"/>
        <v>280</v>
      </c>
      <c r="F24" s="3">
        <f t="shared" si="2"/>
        <v>0</v>
      </c>
      <c r="G24" s="3">
        <f t="shared" si="2"/>
        <v>2</v>
      </c>
      <c r="H24" s="3">
        <f t="shared" si="2"/>
        <v>16</v>
      </c>
      <c r="I24" s="3">
        <f t="shared" si="2"/>
        <v>11</v>
      </c>
      <c r="J24" s="3">
        <f t="shared" si="2"/>
        <v>0</v>
      </c>
      <c r="K24" s="3">
        <f t="shared" si="2"/>
        <v>10</v>
      </c>
      <c r="L24" s="3">
        <f t="shared" si="2"/>
        <v>2</v>
      </c>
      <c r="N24" s="19">
        <f>SUM(N7:N22)</f>
        <v>280</v>
      </c>
      <c r="P24" s="3">
        <f>SUM(P7:P22)</f>
        <v>426</v>
      </c>
      <c r="R24" s="3">
        <f>SUM(R7:R22)</f>
        <v>198</v>
      </c>
    </row>
    <row r="26" ht="12.75">
      <c r="A26" s="17"/>
    </row>
    <row r="27" spans="7:18" ht="12.75">
      <c r="G27" s="26" t="s">
        <v>1</v>
      </c>
      <c r="H27" s="26"/>
      <c r="I27" s="26"/>
      <c r="J27" s="26"/>
      <c r="K27" s="26"/>
      <c r="L27" s="26"/>
      <c r="P27" s="5" t="s">
        <v>2</v>
      </c>
      <c r="R27" s="5" t="s">
        <v>3</v>
      </c>
    </row>
    <row r="28" spans="1:18" ht="12.75">
      <c r="A28" s="4" t="s">
        <v>28</v>
      </c>
      <c r="C28" s="7" t="s">
        <v>4</v>
      </c>
      <c r="D28" s="7" t="s">
        <v>5</v>
      </c>
      <c r="E28" s="7" t="s">
        <v>6</v>
      </c>
      <c r="F28" s="6"/>
      <c r="G28" s="7" t="s">
        <v>7</v>
      </c>
      <c r="H28" s="7" t="s">
        <v>8</v>
      </c>
      <c r="I28" s="7" t="s">
        <v>9</v>
      </c>
      <c r="J28" s="7">
        <v>5</v>
      </c>
      <c r="K28" s="7">
        <v>6</v>
      </c>
      <c r="L28" s="7">
        <v>7</v>
      </c>
      <c r="M28" s="6"/>
      <c r="N28" s="21" t="s">
        <v>10</v>
      </c>
      <c r="O28" s="6"/>
      <c r="P28" s="8" t="s">
        <v>11</v>
      </c>
      <c r="Q28" s="6"/>
      <c r="R28" s="8" t="s">
        <v>12</v>
      </c>
    </row>
    <row r="29" spans="1:18" ht="12.75">
      <c r="A29" s="4"/>
      <c r="B29" s="3" t="s">
        <v>30</v>
      </c>
      <c r="C29" s="3">
        <f>D29+E29</f>
        <v>54</v>
      </c>
      <c r="D29" s="3">
        <v>21</v>
      </c>
      <c r="E29" s="3">
        <v>33</v>
      </c>
      <c r="H29" s="3">
        <v>1</v>
      </c>
      <c r="I29" s="3">
        <v>1</v>
      </c>
      <c r="N29" s="19">
        <f>(C29-P29)</f>
        <v>33</v>
      </c>
      <c r="P29" s="3">
        <v>21</v>
      </c>
      <c r="R29" s="3">
        <v>20</v>
      </c>
    </row>
    <row r="30" spans="2:18" ht="12" customHeight="1">
      <c r="B30" s="9" t="s">
        <v>104</v>
      </c>
      <c r="C30" s="3">
        <f>D30+E30</f>
        <v>199</v>
      </c>
      <c r="D30" s="3">
        <v>132</v>
      </c>
      <c r="E30" s="3">
        <v>67</v>
      </c>
      <c r="H30" s="3">
        <v>5</v>
      </c>
      <c r="I30" s="3">
        <v>5</v>
      </c>
      <c r="K30" s="3">
        <v>5</v>
      </c>
      <c r="L30" s="3">
        <v>2</v>
      </c>
      <c r="N30" s="19">
        <f>(C30-P30)</f>
        <v>153</v>
      </c>
      <c r="P30" s="3">
        <f>27+19</f>
        <v>46</v>
      </c>
      <c r="R30" s="3">
        <v>30</v>
      </c>
    </row>
    <row r="31" spans="2:18" ht="12" customHeight="1">
      <c r="B31" s="9" t="s">
        <v>126</v>
      </c>
      <c r="C31" s="3">
        <f>D31+E31</f>
        <v>27</v>
      </c>
      <c r="D31" s="3">
        <v>19</v>
      </c>
      <c r="E31" s="3">
        <v>8</v>
      </c>
      <c r="I31" s="3">
        <v>1</v>
      </c>
      <c r="K31" s="3">
        <v>1</v>
      </c>
      <c r="N31" s="19">
        <f>(C31-P31)</f>
        <v>8</v>
      </c>
      <c r="P31" s="3">
        <v>19</v>
      </c>
      <c r="R31" s="3">
        <v>18</v>
      </c>
    </row>
    <row r="33" spans="1:18" ht="12.75">
      <c r="A33" s="9" t="s">
        <v>4</v>
      </c>
      <c r="C33" s="3">
        <f>SUM(C29:C31)</f>
        <v>280</v>
      </c>
      <c r="D33" s="3">
        <f aca="true" t="shared" si="3" ref="D33:R33">SUM(D29:D31)</f>
        <v>172</v>
      </c>
      <c r="E33" s="3">
        <f t="shared" si="3"/>
        <v>108</v>
      </c>
      <c r="F33" s="3">
        <f t="shared" si="3"/>
        <v>0</v>
      </c>
      <c r="G33" s="3">
        <f t="shared" si="3"/>
        <v>0</v>
      </c>
      <c r="H33" s="3">
        <f t="shared" si="3"/>
        <v>6</v>
      </c>
      <c r="I33" s="3">
        <f t="shared" si="3"/>
        <v>7</v>
      </c>
      <c r="J33" s="3">
        <f t="shared" si="3"/>
        <v>0</v>
      </c>
      <c r="K33" s="3">
        <f t="shared" si="3"/>
        <v>6</v>
      </c>
      <c r="L33" s="3">
        <f t="shared" si="3"/>
        <v>2</v>
      </c>
      <c r="N33" s="19">
        <f t="shared" si="3"/>
        <v>194</v>
      </c>
      <c r="P33" s="3">
        <f t="shared" si="3"/>
        <v>86</v>
      </c>
      <c r="R33" s="3">
        <f t="shared" si="3"/>
        <v>68</v>
      </c>
    </row>
    <row r="34" ht="12.75">
      <c r="A34" s="9"/>
    </row>
    <row r="35" ht="12.75">
      <c r="A35" s="9"/>
    </row>
    <row r="37" spans="7:18" ht="12.75">
      <c r="G37" s="26" t="s">
        <v>1</v>
      </c>
      <c r="H37" s="26"/>
      <c r="I37" s="26"/>
      <c r="J37" s="26"/>
      <c r="K37" s="26"/>
      <c r="L37" s="26"/>
      <c r="P37" s="5" t="s">
        <v>2</v>
      </c>
      <c r="R37" s="5" t="s">
        <v>3</v>
      </c>
    </row>
    <row r="38" spans="1:18" ht="12.75">
      <c r="A38" s="4" t="s">
        <v>35</v>
      </c>
      <c r="B38" s="6"/>
      <c r="C38" s="7" t="s">
        <v>4</v>
      </c>
      <c r="D38" s="7" t="s">
        <v>5</v>
      </c>
      <c r="E38" s="7" t="s">
        <v>6</v>
      </c>
      <c r="F38" s="6"/>
      <c r="G38" s="7" t="s">
        <v>7</v>
      </c>
      <c r="H38" s="7" t="s">
        <v>8</v>
      </c>
      <c r="I38" s="7" t="s">
        <v>9</v>
      </c>
      <c r="J38" s="7">
        <v>5</v>
      </c>
      <c r="K38" s="7">
        <v>6</v>
      </c>
      <c r="L38" s="7">
        <v>7</v>
      </c>
      <c r="M38" s="6"/>
      <c r="N38" s="21" t="s">
        <v>10</v>
      </c>
      <c r="O38" s="6"/>
      <c r="P38" s="8" t="s">
        <v>11</v>
      </c>
      <c r="Q38" s="6"/>
      <c r="R38" s="8" t="s">
        <v>12</v>
      </c>
    </row>
    <row r="39" spans="2:18" ht="12" customHeight="1">
      <c r="B39" s="9" t="s">
        <v>105</v>
      </c>
      <c r="C39" s="3">
        <f>D39+E39</f>
        <v>52</v>
      </c>
      <c r="D39" s="3">
        <v>29</v>
      </c>
      <c r="E39" s="3">
        <v>23</v>
      </c>
      <c r="K39" s="3">
        <v>3</v>
      </c>
      <c r="N39" s="19">
        <f>(C39-P39)</f>
        <v>22</v>
      </c>
      <c r="P39" s="3">
        <v>30</v>
      </c>
      <c r="R39" s="3">
        <v>14</v>
      </c>
    </row>
    <row r="40" spans="2:18" ht="12" customHeight="1">
      <c r="B40" s="9" t="s">
        <v>37</v>
      </c>
      <c r="C40" s="3">
        <f>D40+E40</f>
        <v>52</v>
      </c>
      <c r="D40" s="3">
        <v>12</v>
      </c>
      <c r="E40" s="3">
        <v>40</v>
      </c>
      <c r="H40" s="3">
        <v>1</v>
      </c>
      <c r="I40" s="3">
        <v>1</v>
      </c>
      <c r="N40" s="19">
        <f>(C40-P40)</f>
        <v>31</v>
      </c>
      <c r="P40" s="3">
        <v>21</v>
      </c>
      <c r="R40" s="3">
        <v>14</v>
      </c>
    </row>
    <row r="41" spans="2:18" ht="12" customHeight="1">
      <c r="B41" s="9" t="s">
        <v>38</v>
      </c>
      <c r="C41" s="3">
        <f>D41+E41</f>
        <v>33</v>
      </c>
      <c r="D41" s="3">
        <v>16</v>
      </c>
      <c r="E41" s="3">
        <v>17</v>
      </c>
      <c r="H41" s="3">
        <v>2</v>
      </c>
      <c r="N41" s="19">
        <f>(C41-P41)</f>
        <v>17</v>
      </c>
      <c r="P41" s="3">
        <v>16</v>
      </c>
      <c r="R41" s="3">
        <v>6</v>
      </c>
    </row>
    <row r="42" spans="2:18" ht="12" customHeight="1">
      <c r="B42" s="9" t="s">
        <v>41</v>
      </c>
      <c r="C42" s="3">
        <f>D42+E42</f>
        <v>7</v>
      </c>
      <c r="D42" s="3">
        <v>2</v>
      </c>
      <c r="E42" s="3">
        <v>5</v>
      </c>
      <c r="K42" s="3">
        <v>1</v>
      </c>
      <c r="N42" s="19">
        <f>(C42-P42)</f>
        <v>4</v>
      </c>
      <c r="P42" s="3">
        <v>3</v>
      </c>
      <c r="R42" s="3">
        <v>1</v>
      </c>
    </row>
    <row r="44" spans="1:18" ht="12.75">
      <c r="A44" s="9" t="s">
        <v>4</v>
      </c>
      <c r="C44" s="3">
        <f>SUM(C39:C42)</f>
        <v>144</v>
      </c>
      <c r="D44" s="3">
        <f>SUM(D39:D42)</f>
        <v>59</v>
      </c>
      <c r="E44" s="3">
        <f>SUM(E39:E42)</f>
        <v>85</v>
      </c>
      <c r="G44" s="3">
        <f aca="true" t="shared" si="4" ref="G44:L44">SUM(G39:G42)</f>
        <v>0</v>
      </c>
      <c r="H44" s="3">
        <f t="shared" si="4"/>
        <v>3</v>
      </c>
      <c r="I44" s="3">
        <f t="shared" si="4"/>
        <v>1</v>
      </c>
      <c r="J44" s="3">
        <f t="shared" si="4"/>
        <v>0</v>
      </c>
      <c r="K44" s="3">
        <f t="shared" si="4"/>
        <v>4</v>
      </c>
      <c r="L44" s="3">
        <f t="shared" si="4"/>
        <v>0</v>
      </c>
      <c r="N44" s="19">
        <f>SUM(N39:N42)</f>
        <v>74</v>
      </c>
      <c r="P44" s="3">
        <f>SUM(P39:P42)</f>
        <v>70</v>
      </c>
      <c r="R44" s="3">
        <f>SUM(R39:R42)</f>
        <v>35</v>
      </c>
    </row>
    <row r="48" spans="1:19" ht="12.75">
      <c r="A48" s="28" t="s">
        <v>174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3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3"/>
      <c r="O50" s="5"/>
      <c r="P50" s="5"/>
      <c r="Q50" s="5"/>
      <c r="R50" s="5"/>
      <c r="S50" s="5"/>
    </row>
    <row r="51" spans="7:18" ht="12.75">
      <c r="G51" s="26" t="s">
        <v>1</v>
      </c>
      <c r="H51" s="26"/>
      <c r="I51" s="26"/>
      <c r="J51" s="26"/>
      <c r="K51" s="26"/>
      <c r="L51" s="26"/>
      <c r="P51" s="5" t="s">
        <v>2</v>
      </c>
      <c r="R51" s="5" t="s">
        <v>3</v>
      </c>
    </row>
    <row r="52" spans="1:18" ht="12.75">
      <c r="A52" s="4" t="s">
        <v>46</v>
      </c>
      <c r="B52" s="6"/>
      <c r="C52" s="7" t="s">
        <v>4</v>
      </c>
      <c r="D52" s="7" t="s">
        <v>5</v>
      </c>
      <c r="E52" s="7" t="s">
        <v>6</v>
      </c>
      <c r="F52" s="6"/>
      <c r="G52" s="7" t="s">
        <v>7</v>
      </c>
      <c r="H52" s="7" t="s">
        <v>8</v>
      </c>
      <c r="I52" s="7" t="s">
        <v>9</v>
      </c>
      <c r="J52" s="7">
        <v>5</v>
      </c>
      <c r="K52" s="7">
        <v>6</v>
      </c>
      <c r="L52" s="7">
        <v>7</v>
      </c>
      <c r="M52" s="6"/>
      <c r="N52" s="21" t="s">
        <v>10</v>
      </c>
      <c r="O52" s="6"/>
      <c r="P52" s="8" t="s">
        <v>11</v>
      </c>
      <c r="Q52" s="6"/>
      <c r="R52" s="8" t="s">
        <v>12</v>
      </c>
    </row>
    <row r="53" spans="2:18" ht="12" customHeight="1">
      <c r="B53" s="9" t="s">
        <v>47</v>
      </c>
      <c r="C53" s="3">
        <f aca="true" t="shared" si="5" ref="C53:C61">D53+E53</f>
        <v>56</v>
      </c>
      <c r="D53" s="3">
        <v>48</v>
      </c>
      <c r="E53" s="3">
        <v>8</v>
      </c>
      <c r="I53" s="3">
        <v>3</v>
      </c>
      <c r="K53" s="3">
        <v>1</v>
      </c>
      <c r="N53" s="19">
        <f aca="true" t="shared" si="6" ref="N53:N61">(C53-P53)</f>
        <v>15</v>
      </c>
      <c r="P53" s="3">
        <f>34+7</f>
        <v>41</v>
      </c>
      <c r="R53" s="3">
        <v>32</v>
      </c>
    </row>
    <row r="54" spans="2:18" ht="12" customHeight="1">
      <c r="B54" s="9" t="s">
        <v>211</v>
      </c>
      <c r="C54" s="3">
        <f t="shared" si="5"/>
        <v>67</v>
      </c>
      <c r="D54" s="3">
        <v>42</v>
      </c>
      <c r="E54" s="3">
        <v>25</v>
      </c>
      <c r="H54" s="3">
        <v>1</v>
      </c>
      <c r="I54" s="3">
        <v>1</v>
      </c>
      <c r="K54" s="3">
        <v>2</v>
      </c>
      <c r="N54" s="19">
        <f t="shared" si="6"/>
        <v>18</v>
      </c>
      <c r="P54" s="3">
        <f>28+21</f>
        <v>49</v>
      </c>
      <c r="R54" s="3">
        <v>30</v>
      </c>
    </row>
    <row r="55" spans="2:18" ht="12" customHeight="1">
      <c r="B55" s="9" t="s">
        <v>159</v>
      </c>
      <c r="C55" s="3">
        <f t="shared" si="5"/>
        <v>64</v>
      </c>
      <c r="D55" s="3">
        <v>44</v>
      </c>
      <c r="E55" s="3">
        <v>20</v>
      </c>
      <c r="I55" s="3">
        <v>2</v>
      </c>
      <c r="K55" s="3">
        <v>3</v>
      </c>
      <c r="N55" s="19">
        <f t="shared" si="6"/>
        <v>17</v>
      </c>
      <c r="P55" s="3">
        <f>32+15</f>
        <v>47</v>
      </c>
      <c r="R55" s="3">
        <f>16+12</f>
        <v>28</v>
      </c>
    </row>
    <row r="56" spans="2:18" ht="12" customHeight="1">
      <c r="B56" s="9" t="s">
        <v>212</v>
      </c>
      <c r="C56" s="3">
        <f t="shared" si="5"/>
        <v>118</v>
      </c>
      <c r="D56" s="3">
        <v>91</v>
      </c>
      <c r="E56" s="3">
        <v>27</v>
      </c>
      <c r="I56" s="3">
        <v>1</v>
      </c>
      <c r="L56" s="3">
        <v>1</v>
      </c>
      <c r="N56" s="19">
        <f t="shared" si="6"/>
        <v>38</v>
      </c>
      <c r="P56" s="3">
        <f>62+18</f>
        <v>80</v>
      </c>
      <c r="R56" s="3">
        <f>34+14</f>
        <v>48</v>
      </c>
    </row>
    <row r="57" spans="2:18" ht="12" customHeight="1">
      <c r="B57" s="9" t="s">
        <v>213</v>
      </c>
      <c r="C57" s="3">
        <f t="shared" si="5"/>
        <v>330</v>
      </c>
      <c r="D57" s="3">
        <v>275</v>
      </c>
      <c r="E57" s="3">
        <v>55</v>
      </c>
      <c r="H57" s="3">
        <v>2</v>
      </c>
      <c r="I57" s="3">
        <v>8</v>
      </c>
      <c r="K57" s="3">
        <v>2</v>
      </c>
      <c r="N57" s="19">
        <f t="shared" si="6"/>
        <v>78</v>
      </c>
      <c r="P57" s="3">
        <f>205+47</f>
        <v>252</v>
      </c>
      <c r="R57" s="3">
        <f>174+37</f>
        <v>211</v>
      </c>
    </row>
    <row r="58" spans="2:18" ht="12" customHeight="1">
      <c r="B58" s="9" t="s">
        <v>214</v>
      </c>
      <c r="C58" s="3">
        <f t="shared" si="5"/>
        <v>63</v>
      </c>
      <c r="D58" s="3">
        <v>48</v>
      </c>
      <c r="E58" s="3">
        <v>15</v>
      </c>
      <c r="H58" s="3">
        <v>2</v>
      </c>
      <c r="K58" s="3">
        <v>2</v>
      </c>
      <c r="N58" s="19">
        <f t="shared" si="6"/>
        <v>22</v>
      </c>
      <c r="P58" s="3">
        <f>28+13</f>
        <v>41</v>
      </c>
      <c r="R58" s="3">
        <v>33</v>
      </c>
    </row>
    <row r="59" spans="2:18" ht="12" customHeight="1">
      <c r="B59" s="9" t="s">
        <v>109</v>
      </c>
      <c r="C59" s="3">
        <f t="shared" si="5"/>
        <v>74</v>
      </c>
      <c r="D59" s="3">
        <v>57</v>
      </c>
      <c r="E59" s="3">
        <v>17</v>
      </c>
      <c r="H59" s="3">
        <v>1</v>
      </c>
      <c r="I59" s="3">
        <v>1</v>
      </c>
      <c r="K59" s="3">
        <v>1</v>
      </c>
      <c r="L59" s="3">
        <v>1</v>
      </c>
      <c r="N59" s="19">
        <f t="shared" si="6"/>
        <v>29</v>
      </c>
      <c r="P59" s="3">
        <f>32+13</f>
        <v>45</v>
      </c>
      <c r="R59" s="3">
        <f>26+11</f>
        <v>37</v>
      </c>
    </row>
    <row r="60" spans="2:18" ht="12" customHeight="1">
      <c r="B60" s="9" t="s">
        <v>55</v>
      </c>
      <c r="C60" s="3">
        <f t="shared" si="5"/>
        <v>174</v>
      </c>
      <c r="D60" s="3">
        <v>155</v>
      </c>
      <c r="E60" s="3">
        <v>19</v>
      </c>
      <c r="G60" s="3">
        <v>2</v>
      </c>
      <c r="H60" s="3">
        <v>4</v>
      </c>
      <c r="I60" s="3">
        <v>7</v>
      </c>
      <c r="K60" s="3">
        <v>2</v>
      </c>
      <c r="N60" s="19">
        <f t="shared" si="6"/>
        <v>73</v>
      </c>
      <c r="P60" s="3">
        <f>88+13</f>
        <v>101</v>
      </c>
      <c r="R60" s="3">
        <v>66</v>
      </c>
    </row>
    <row r="61" spans="2:18" ht="12" customHeight="1">
      <c r="B61" s="9" t="s">
        <v>110</v>
      </c>
      <c r="C61" s="3">
        <f t="shared" si="5"/>
        <v>50</v>
      </c>
      <c r="D61" s="3">
        <v>37</v>
      </c>
      <c r="E61" s="3">
        <v>13</v>
      </c>
      <c r="H61" s="3">
        <v>5</v>
      </c>
      <c r="I61" s="3">
        <v>3</v>
      </c>
      <c r="K61" s="3">
        <v>2</v>
      </c>
      <c r="L61" s="3">
        <v>1</v>
      </c>
      <c r="N61" s="19">
        <f t="shared" si="6"/>
        <v>32</v>
      </c>
      <c r="P61" s="3">
        <v>18</v>
      </c>
      <c r="R61" s="3">
        <v>4</v>
      </c>
    </row>
    <row r="63" spans="1:18" ht="12.75">
      <c r="A63" s="9" t="s">
        <v>4</v>
      </c>
      <c r="C63" s="3">
        <f>SUM(C53:C61)</f>
        <v>996</v>
      </c>
      <c r="D63" s="3">
        <f>SUM(D53:D61)</f>
        <v>797</v>
      </c>
      <c r="E63" s="3">
        <f>SUM(E53:E61)</f>
        <v>199</v>
      </c>
      <c r="G63" s="3">
        <f aca="true" t="shared" si="7" ref="G63:L63">SUM(G53:G61)</f>
        <v>2</v>
      </c>
      <c r="H63" s="3">
        <f t="shared" si="7"/>
        <v>15</v>
      </c>
      <c r="I63" s="3">
        <f t="shared" si="7"/>
        <v>26</v>
      </c>
      <c r="J63" s="3">
        <f t="shared" si="7"/>
        <v>0</v>
      </c>
      <c r="K63" s="3">
        <f t="shared" si="7"/>
        <v>15</v>
      </c>
      <c r="L63" s="3">
        <f t="shared" si="7"/>
        <v>3</v>
      </c>
      <c r="N63" s="19">
        <f>SUM(N53:N61)</f>
        <v>322</v>
      </c>
      <c r="P63" s="3">
        <f>SUM(P53:P61)</f>
        <v>674</v>
      </c>
      <c r="R63" s="3">
        <f>SUM(R53:R61)</f>
        <v>489</v>
      </c>
    </row>
    <row r="67" spans="7:18" ht="12.75">
      <c r="G67" s="26" t="s">
        <v>1</v>
      </c>
      <c r="H67" s="26"/>
      <c r="I67" s="26"/>
      <c r="J67" s="26"/>
      <c r="K67" s="26"/>
      <c r="L67" s="26"/>
      <c r="P67" s="5" t="s">
        <v>2</v>
      </c>
      <c r="R67" s="5" t="s">
        <v>3</v>
      </c>
    </row>
    <row r="68" spans="1:18" ht="12.75">
      <c r="A68" s="4" t="s">
        <v>152</v>
      </c>
      <c r="B68" s="6"/>
      <c r="C68" s="7" t="s">
        <v>4</v>
      </c>
      <c r="D68" s="7" t="s">
        <v>5</v>
      </c>
      <c r="E68" s="7" t="s">
        <v>6</v>
      </c>
      <c r="F68" s="6"/>
      <c r="G68" s="7" t="s">
        <v>7</v>
      </c>
      <c r="H68" s="7" t="s">
        <v>8</v>
      </c>
      <c r="I68" s="7" t="s">
        <v>9</v>
      </c>
      <c r="J68" s="7">
        <v>5</v>
      </c>
      <c r="K68" s="7">
        <v>6</v>
      </c>
      <c r="L68" s="7">
        <v>7</v>
      </c>
      <c r="M68" s="6"/>
      <c r="N68" s="21" t="s">
        <v>10</v>
      </c>
      <c r="O68" s="6"/>
      <c r="P68" s="8" t="s">
        <v>11</v>
      </c>
      <c r="Q68" s="6"/>
      <c r="R68" s="8" t="s">
        <v>12</v>
      </c>
    </row>
    <row r="69" spans="1:18" ht="24" customHeight="1">
      <c r="A69" s="9"/>
      <c r="B69" s="13" t="s">
        <v>215</v>
      </c>
      <c r="C69" s="3">
        <f aca="true" t="shared" si="8" ref="C69:C75">D69+E69</f>
        <v>81</v>
      </c>
      <c r="D69" s="3">
        <v>21</v>
      </c>
      <c r="E69" s="3">
        <v>60</v>
      </c>
      <c r="H69" s="3">
        <v>4</v>
      </c>
      <c r="I69" s="3">
        <v>2</v>
      </c>
      <c r="K69" s="3">
        <v>2</v>
      </c>
      <c r="L69" s="3">
        <v>2</v>
      </c>
      <c r="N69" s="19">
        <f aca="true" t="shared" si="9" ref="N69:N75">(C69-P69)</f>
        <v>9</v>
      </c>
      <c r="P69" s="12">
        <f>20+52</f>
        <v>72</v>
      </c>
      <c r="R69" s="12">
        <v>38</v>
      </c>
    </row>
    <row r="70" spans="1:18" ht="12.75">
      <c r="A70" s="9"/>
      <c r="B70" s="9" t="s">
        <v>106</v>
      </c>
      <c r="C70" s="3">
        <f t="shared" si="8"/>
        <v>121</v>
      </c>
      <c r="D70" s="3">
        <v>40</v>
      </c>
      <c r="E70" s="3">
        <v>81</v>
      </c>
      <c r="G70" s="3">
        <v>1</v>
      </c>
      <c r="H70" s="3">
        <v>5</v>
      </c>
      <c r="I70" s="3">
        <v>4</v>
      </c>
      <c r="K70" s="3">
        <v>2</v>
      </c>
      <c r="N70" s="19">
        <f t="shared" si="9"/>
        <v>90</v>
      </c>
      <c r="P70" s="12">
        <f>4+27</f>
        <v>31</v>
      </c>
      <c r="R70" s="12">
        <v>25</v>
      </c>
    </row>
    <row r="71" spans="1:18" ht="12.75">
      <c r="A71" s="9"/>
      <c r="B71" s="9" t="s">
        <v>107</v>
      </c>
      <c r="C71" s="3">
        <f t="shared" si="8"/>
        <v>322</v>
      </c>
      <c r="D71" s="3">
        <v>128</v>
      </c>
      <c r="E71" s="3">
        <v>194</v>
      </c>
      <c r="G71" s="3">
        <v>2</v>
      </c>
      <c r="H71" s="3">
        <f>16+16</f>
        <v>32</v>
      </c>
      <c r="I71" s="3">
        <v>4</v>
      </c>
      <c r="K71" s="3">
        <v>17</v>
      </c>
      <c r="L71" s="3">
        <v>1</v>
      </c>
      <c r="N71" s="19">
        <f t="shared" si="9"/>
        <v>252</v>
      </c>
      <c r="P71" s="12">
        <f>30+40</f>
        <v>70</v>
      </c>
      <c r="R71" s="12">
        <v>7</v>
      </c>
    </row>
    <row r="72" spans="1:18" ht="12.75">
      <c r="A72" s="9"/>
      <c r="B72" s="9" t="s">
        <v>216</v>
      </c>
      <c r="C72" s="3">
        <f t="shared" si="8"/>
        <v>45</v>
      </c>
      <c r="D72" s="3">
        <v>11</v>
      </c>
      <c r="E72" s="3">
        <v>34</v>
      </c>
      <c r="H72" s="3">
        <v>3</v>
      </c>
      <c r="N72" s="19">
        <f t="shared" si="9"/>
        <v>26</v>
      </c>
      <c r="P72" s="12">
        <v>19</v>
      </c>
      <c r="R72" s="12">
        <v>2</v>
      </c>
    </row>
    <row r="73" spans="1:18" ht="12.75">
      <c r="A73" s="9"/>
      <c r="B73" s="9" t="s">
        <v>208</v>
      </c>
      <c r="C73" s="3">
        <f t="shared" si="8"/>
        <v>44</v>
      </c>
      <c r="D73" s="3">
        <v>12</v>
      </c>
      <c r="E73" s="3">
        <v>32</v>
      </c>
      <c r="H73" s="3">
        <v>1</v>
      </c>
      <c r="I73" s="3">
        <v>2</v>
      </c>
      <c r="N73" s="19">
        <f t="shared" si="9"/>
        <v>21</v>
      </c>
      <c r="P73" s="12">
        <f>9+14</f>
        <v>23</v>
      </c>
      <c r="R73" s="12">
        <v>16</v>
      </c>
    </row>
    <row r="74" spans="2:18" ht="12" customHeight="1">
      <c r="B74" s="9" t="s">
        <v>217</v>
      </c>
      <c r="C74" s="3">
        <f t="shared" si="8"/>
        <v>73</v>
      </c>
      <c r="D74" s="3">
        <v>9</v>
      </c>
      <c r="E74" s="3">
        <v>64</v>
      </c>
      <c r="H74" s="3">
        <v>2</v>
      </c>
      <c r="K74" s="3">
        <v>3</v>
      </c>
      <c r="L74" s="3">
        <v>1</v>
      </c>
      <c r="N74" s="19">
        <f t="shared" si="9"/>
        <v>48</v>
      </c>
      <c r="P74" s="3">
        <f>6+19</f>
        <v>25</v>
      </c>
      <c r="R74" s="3">
        <v>12</v>
      </c>
    </row>
    <row r="75" spans="2:18" ht="12" customHeight="1">
      <c r="B75" s="3" t="s">
        <v>167</v>
      </c>
      <c r="C75" s="3">
        <f t="shared" si="8"/>
        <v>43</v>
      </c>
      <c r="D75" s="3">
        <v>19</v>
      </c>
      <c r="E75" s="3">
        <v>24</v>
      </c>
      <c r="H75" s="3">
        <v>2</v>
      </c>
      <c r="K75" s="3">
        <v>1</v>
      </c>
      <c r="N75" s="19">
        <f t="shared" si="9"/>
        <v>21</v>
      </c>
      <c r="P75" s="3">
        <v>22</v>
      </c>
      <c r="R75" s="3">
        <v>12</v>
      </c>
    </row>
    <row r="77" spans="1:18" ht="12.75">
      <c r="A77" s="9" t="s">
        <v>4</v>
      </c>
      <c r="C77" s="3">
        <f>SUM(C69:C75)</f>
        <v>729</v>
      </c>
      <c r="D77" s="3">
        <f>SUM(D69:D75)</f>
        <v>240</v>
      </c>
      <c r="E77" s="3">
        <f>SUM(E69:E75)</f>
        <v>489</v>
      </c>
      <c r="G77" s="3">
        <f aca="true" t="shared" si="10" ref="G77:L77">SUM(G69:G75)</f>
        <v>3</v>
      </c>
      <c r="H77" s="3">
        <f t="shared" si="10"/>
        <v>49</v>
      </c>
      <c r="I77" s="3">
        <f t="shared" si="10"/>
        <v>12</v>
      </c>
      <c r="J77" s="3">
        <f t="shared" si="10"/>
        <v>0</v>
      </c>
      <c r="K77" s="3">
        <f t="shared" si="10"/>
        <v>25</v>
      </c>
      <c r="L77" s="3">
        <f t="shared" si="10"/>
        <v>4</v>
      </c>
      <c r="N77" s="19">
        <f>SUM(N69:N75)</f>
        <v>467</v>
      </c>
      <c r="P77" s="3">
        <f>SUM(P69:P75)</f>
        <v>262</v>
      </c>
      <c r="R77" s="3">
        <f>SUM(R69:R75)</f>
        <v>112</v>
      </c>
    </row>
    <row r="79" ht="12.75">
      <c r="A79" s="18"/>
    </row>
    <row r="80" spans="8:18" ht="12.75">
      <c r="H80" s="4" t="s">
        <v>1</v>
      </c>
      <c r="P80" s="5" t="s">
        <v>2</v>
      </c>
      <c r="R80" s="5" t="s">
        <v>3</v>
      </c>
    </row>
    <row r="81" spans="1:18" ht="12.75">
      <c r="A81" s="4" t="s">
        <v>56</v>
      </c>
      <c r="B81" s="6"/>
      <c r="C81" s="7" t="s">
        <v>4</v>
      </c>
      <c r="D81" s="7" t="s">
        <v>5</v>
      </c>
      <c r="E81" s="7" t="s">
        <v>6</v>
      </c>
      <c r="F81" s="6"/>
      <c r="G81" s="7" t="s">
        <v>7</v>
      </c>
      <c r="H81" s="7" t="s">
        <v>8</v>
      </c>
      <c r="I81" s="7" t="s">
        <v>9</v>
      </c>
      <c r="J81" s="7">
        <v>5</v>
      </c>
      <c r="K81" s="7">
        <v>6</v>
      </c>
      <c r="L81" s="7">
        <v>7</v>
      </c>
      <c r="M81" s="6"/>
      <c r="N81" s="21" t="s">
        <v>10</v>
      </c>
      <c r="O81" s="6"/>
      <c r="P81" s="8" t="s">
        <v>11</v>
      </c>
      <c r="Q81" s="6"/>
      <c r="R81" s="8" t="s">
        <v>12</v>
      </c>
    </row>
    <row r="82" spans="2:18" ht="12" customHeight="1">
      <c r="B82" s="9" t="s">
        <v>58</v>
      </c>
      <c r="C82" s="3">
        <f aca="true" t="shared" si="11" ref="C82:C98">D82+E82</f>
        <v>17</v>
      </c>
      <c r="D82" s="3">
        <v>1</v>
      </c>
      <c r="E82" s="3">
        <v>16</v>
      </c>
      <c r="H82" s="3">
        <v>1</v>
      </c>
      <c r="N82" s="19">
        <f>(C82-P82)</f>
        <v>10</v>
      </c>
      <c r="P82" s="3">
        <v>7</v>
      </c>
      <c r="R82" s="3">
        <v>2</v>
      </c>
    </row>
    <row r="83" spans="2:18" ht="12" customHeight="1">
      <c r="B83" s="9" t="s">
        <v>111</v>
      </c>
      <c r="C83" s="3">
        <f t="shared" si="11"/>
        <v>56</v>
      </c>
      <c r="D83" s="3">
        <v>32</v>
      </c>
      <c r="E83" s="3">
        <v>24</v>
      </c>
      <c r="K83" s="3">
        <v>1</v>
      </c>
      <c r="N83" s="19">
        <f aca="true" t="shared" si="12" ref="N83:N98">(C83-P83)</f>
        <v>15</v>
      </c>
      <c r="P83" s="3">
        <f>23+18</f>
        <v>41</v>
      </c>
      <c r="R83" s="3">
        <v>35</v>
      </c>
    </row>
    <row r="84" spans="2:18" ht="12" customHeight="1">
      <c r="B84" s="9" t="s">
        <v>61</v>
      </c>
      <c r="C84" s="3">
        <f t="shared" si="11"/>
        <v>177</v>
      </c>
      <c r="D84" s="3">
        <v>116</v>
      </c>
      <c r="E84" s="3">
        <v>61</v>
      </c>
      <c r="H84" s="3">
        <v>2</v>
      </c>
      <c r="I84" s="3">
        <v>3</v>
      </c>
      <c r="K84" s="3">
        <v>1</v>
      </c>
      <c r="L84" s="3">
        <v>1</v>
      </c>
      <c r="N84" s="19">
        <f t="shared" si="12"/>
        <v>25</v>
      </c>
      <c r="P84" s="3">
        <f>96+56</f>
        <v>152</v>
      </c>
      <c r="R84" s="3">
        <f>47+38</f>
        <v>85</v>
      </c>
    </row>
    <row r="85" spans="2:18" ht="12" customHeight="1">
      <c r="B85" s="9" t="s">
        <v>154</v>
      </c>
      <c r="C85" s="3">
        <f t="shared" si="11"/>
        <v>138</v>
      </c>
      <c r="D85" s="3">
        <v>113</v>
      </c>
      <c r="E85" s="3">
        <v>25</v>
      </c>
      <c r="H85" s="3">
        <v>1</v>
      </c>
      <c r="I85" s="3">
        <v>3</v>
      </c>
      <c r="K85" s="3">
        <v>1</v>
      </c>
      <c r="L85" s="3">
        <v>1</v>
      </c>
      <c r="N85" s="19">
        <f t="shared" si="12"/>
        <v>18</v>
      </c>
      <c r="P85" s="3">
        <f>100+20</f>
        <v>120</v>
      </c>
      <c r="R85" s="3">
        <f>84+20</f>
        <v>104</v>
      </c>
    </row>
    <row r="86" spans="2:18" ht="12" customHeight="1">
      <c r="B86" s="9" t="s">
        <v>206</v>
      </c>
      <c r="C86" s="3">
        <f t="shared" si="11"/>
        <v>42</v>
      </c>
      <c r="D86" s="3">
        <v>23</v>
      </c>
      <c r="E86" s="3">
        <v>19</v>
      </c>
      <c r="G86" s="3">
        <v>1</v>
      </c>
      <c r="K86" s="3">
        <v>1</v>
      </c>
      <c r="N86" s="19">
        <f t="shared" si="12"/>
        <v>14</v>
      </c>
      <c r="P86" s="3">
        <f>13+15</f>
        <v>28</v>
      </c>
      <c r="R86" s="3">
        <v>11</v>
      </c>
    </row>
    <row r="87" spans="2:18" ht="12" customHeight="1">
      <c r="B87" s="9" t="s">
        <v>199</v>
      </c>
      <c r="C87" s="3">
        <f t="shared" si="11"/>
        <v>46</v>
      </c>
      <c r="D87" s="3">
        <v>19</v>
      </c>
      <c r="E87" s="3">
        <v>27</v>
      </c>
      <c r="N87" s="19">
        <f t="shared" si="12"/>
        <v>5</v>
      </c>
      <c r="P87" s="3">
        <f>18+23</f>
        <v>41</v>
      </c>
      <c r="R87" s="3">
        <f>17+23</f>
        <v>40</v>
      </c>
    </row>
    <row r="88" spans="2:18" ht="12" customHeight="1">
      <c r="B88" s="9" t="s">
        <v>63</v>
      </c>
      <c r="C88" s="3">
        <f t="shared" si="11"/>
        <v>128</v>
      </c>
      <c r="D88" s="3">
        <v>44</v>
      </c>
      <c r="E88" s="3">
        <v>84</v>
      </c>
      <c r="K88" s="3">
        <v>3</v>
      </c>
      <c r="N88" s="19">
        <f t="shared" si="12"/>
        <v>50</v>
      </c>
      <c r="P88" s="3">
        <f>30+48</f>
        <v>78</v>
      </c>
      <c r="R88" s="3">
        <v>28</v>
      </c>
    </row>
    <row r="89" spans="2:18" ht="12" customHeight="1">
      <c r="B89" s="9" t="s">
        <v>209</v>
      </c>
      <c r="C89" s="3">
        <f t="shared" si="11"/>
        <v>42</v>
      </c>
      <c r="D89" s="3">
        <v>28</v>
      </c>
      <c r="E89" s="3">
        <v>14</v>
      </c>
      <c r="N89" s="19">
        <f t="shared" si="12"/>
        <v>11</v>
      </c>
      <c r="P89" s="3">
        <v>31</v>
      </c>
      <c r="R89" s="3">
        <f>15+12</f>
        <v>27</v>
      </c>
    </row>
    <row r="90" spans="2:18" ht="12" customHeight="1">
      <c r="B90" s="9" t="s">
        <v>218</v>
      </c>
      <c r="C90" s="3">
        <f t="shared" si="11"/>
        <v>32</v>
      </c>
      <c r="D90" s="3">
        <v>26</v>
      </c>
      <c r="E90" s="3">
        <v>6</v>
      </c>
      <c r="I90" s="3">
        <v>1</v>
      </c>
      <c r="N90" s="19">
        <f t="shared" si="12"/>
        <v>13</v>
      </c>
      <c r="P90" s="3">
        <f>14+5</f>
        <v>19</v>
      </c>
      <c r="R90" s="3">
        <v>8</v>
      </c>
    </row>
    <row r="91" spans="2:18" ht="12" customHeight="1">
      <c r="B91" s="9" t="s">
        <v>67</v>
      </c>
      <c r="C91" s="3">
        <f t="shared" si="11"/>
        <v>35</v>
      </c>
      <c r="D91" s="3">
        <v>23</v>
      </c>
      <c r="E91" s="3">
        <v>12</v>
      </c>
      <c r="K91" s="3">
        <v>1</v>
      </c>
      <c r="N91" s="19">
        <f t="shared" si="12"/>
        <v>23</v>
      </c>
      <c r="P91" s="3">
        <v>12</v>
      </c>
      <c r="R91" s="3">
        <v>2</v>
      </c>
    </row>
    <row r="92" spans="2:18" ht="12" customHeight="1">
      <c r="B92" s="9" t="s">
        <v>155</v>
      </c>
      <c r="C92" s="3">
        <f t="shared" si="11"/>
        <v>40</v>
      </c>
      <c r="D92" s="3">
        <v>13</v>
      </c>
      <c r="E92" s="3">
        <v>27</v>
      </c>
      <c r="H92" s="3">
        <v>1</v>
      </c>
      <c r="I92" s="3">
        <v>1</v>
      </c>
      <c r="K92" s="3">
        <v>4</v>
      </c>
      <c r="N92" s="19">
        <f t="shared" si="12"/>
        <v>10</v>
      </c>
      <c r="P92" s="3">
        <f>7+23</f>
        <v>30</v>
      </c>
      <c r="R92" s="3">
        <v>22</v>
      </c>
    </row>
    <row r="93" spans="2:18" ht="12" customHeight="1">
      <c r="B93" s="9" t="s">
        <v>71</v>
      </c>
      <c r="C93" s="3">
        <f t="shared" si="11"/>
        <v>86</v>
      </c>
      <c r="D93" s="3">
        <v>66</v>
      </c>
      <c r="E93" s="3">
        <v>20</v>
      </c>
      <c r="H93" s="3">
        <v>1</v>
      </c>
      <c r="I93" s="3">
        <v>1</v>
      </c>
      <c r="K93" s="3">
        <v>1</v>
      </c>
      <c r="L93" s="3">
        <v>2</v>
      </c>
      <c r="N93" s="19">
        <f t="shared" si="12"/>
        <v>16</v>
      </c>
      <c r="P93" s="3">
        <f>53+17</f>
        <v>70</v>
      </c>
      <c r="R93" s="3">
        <f>27+11</f>
        <v>38</v>
      </c>
    </row>
    <row r="94" spans="2:16" ht="12" customHeight="1">
      <c r="B94" s="9" t="s">
        <v>76</v>
      </c>
      <c r="C94" s="3">
        <f t="shared" si="11"/>
        <v>1</v>
      </c>
      <c r="D94" s="3">
        <v>1</v>
      </c>
      <c r="N94" s="19">
        <f t="shared" si="12"/>
        <v>1</v>
      </c>
      <c r="P94" s="3">
        <v>0</v>
      </c>
    </row>
    <row r="95" spans="2:18" ht="12" customHeight="1">
      <c r="B95" s="9" t="s">
        <v>219</v>
      </c>
      <c r="C95" s="3">
        <f t="shared" si="11"/>
        <v>107</v>
      </c>
      <c r="D95" s="3">
        <v>85</v>
      </c>
      <c r="E95" s="3">
        <v>22</v>
      </c>
      <c r="I95" s="3">
        <v>3</v>
      </c>
      <c r="N95" s="19">
        <f t="shared" si="12"/>
        <v>20</v>
      </c>
      <c r="P95" s="3">
        <f>67+20</f>
        <v>87</v>
      </c>
      <c r="R95" s="3">
        <v>56</v>
      </c>
    </row>
    <row r="96" spans="2:18" ht="12" customHeight="1">
      <c r="B96" s="9" t="s">
        <v>78</v>
      </c>
      <c r="C96" s="3">
        <f t="shared" si="11"/>
        <v>70</v>
      </c>
      <c r="D96" s="3">
        <v>37</v>
      </c>
      <c r="E96" s="3">
        <v>33</v>
      </c>
      <c r="I96" s="3">
        <v>4</v>
      </c>
      <c r="N96" s="19">
        <f t="shared" si="12"/>
        <v>56</v>
      </c>
      <c r="P96" s="3">
        <f>5+9</f>
        <v>14</v>
      </c>
      <c r="R96" s="3">
        <v>11</v>
      </c>
    </row>
    <row r="97" spans="2:18" ht="12" customHeight="1">
      <c r="B97" s="9" t="s">
        <v>82</v>
      </c>
      <c r="C97" s="3">
        <f t="shared" si="11"/>
        <v>62</v>
      </c>
      <c r="D97" s="3">
        <v>24</v>
      </c>
      <c r="E97" s="3">
        <v>38</v>
      </c>
      <c r="H97" s="3">
        <v>4</v>
      </c>
      <c r="I97" s="3">
        <v>2</v>
      </c>
      <c r="N97" s="19">
        <f t="shared" si="12"/>
        <v>16</v>
      </c>
      <c r="P97" s="3">
        <f>17+29</f>
        <v>46</v>
      </c>
      <c r="R97" s="3">
        <v>11</v>
      </c>
    </row>
    <row r="98" spans="2:18" ht="12" customHeight="1">
      <c r="B98" s="9" t="s">
        <v>202</v>
      </c>
      <c r="C98" s="3">
        <f t="shared" si="11"/>
        <v>47</v>
      </c>
      <c r="D98" s="3">
        <v>16</v>
      </c>
      <c r="E98" s="3">
        <v>31</v>
      </c>
      <c r="H98" s="3">
        <v>2</v>
      </c>
      <c r="I98" s="3">
        <v>2</v>
      </c>
      <c r="N98" s="19">
        <f t="shared" si="12"/>
        <v>23</v>
      </c>
      <c r="P98" s="3">
        <f>9+15</f>
        <v>24</v>
      </c>
      <c r="R98" s="3">
        <v>11</v>
      </c>
    </row>
    <row r="99" spans="2:18" ht="12.75">
      <c r="B99" s="3" t="s">
        <v>86</v>
      </c>
      <c r="C99" s="3">
        <f>D99+E99</f>
        <v>126</v>
      </c>
      <c r="D99" s="3">
        <v>70</v>
      </c>
      <c r="E99" s="3">
        <v>56</v>
      </c>
      <c r="H99" s="3">
        <v>13</v>
      </c>
      <c r="I99" s="3">
        <v>5</v>
      </c>
      <c r="N99" s="19">
        <f>(C99-P99)</f>
        <v>14</v>
      </c>
      <c r="P99" s="3">
        <f>61+51</f>
        <v>112</v>
      </c>
      <c r="R99" s="3">
        <v>50</v>
      </c>
    </row>
    <row r="101" spans="1:18" ht="12.75">
      <c r="A101" s="9" t="s">
        <v>4</v>
      </c>
      <c r="C101" s="3">
        <f>SUM(C82:C99)</f>
        <v>1252</v>
      </c>
      <c r="D101" s="3">
        <f aca="true" t="shared" si="13" ref="D101:R101">SUM(D82:D99)</f>
        <v>737</v>
      </c>
      <c r="E101" s="3">
        <f t="shared" si="13"/>
        <v>515</v>
      </c>
      <c r="F101" s="3">
        <f t="shared" si="13"/>
        <v>0</v>
      </c>
      <c r="G101" s="3">
        <f t="shared" si="13"/>
        <v>1</v>
      </c>
      <c r="H101" s="3">
        <f t="shared" si="13"/>
        <v>25</v>
      </c>
      <c r="I101" s="3">
        <f t="shared" si="13"/>
        <v>25</v>
      </c>
      <c r="J101" s="3">
        <f t="shared" si="13"/>
        <v>0</v>
      </c>
      <c r="K101" s="3">
        <f t="shared" si="13"/>
        <v>13</v>
      </c>
      <c r="L101" s="3">
        <f t="shared" si="13"/>
        <v>4</v>
      </c>
      <c r="N101" s="3">
        <f t="shared" si="13"/>
        <v>340</v>
      </c>
      <c r="P101" s="3">
        <f t="shared" si="13"/>
        <v>912</v>
      </c>
      <c r="R101" s="3">
        <f t="shared" si="13"/>
        <v>541</v>
      </c>
    </row>
    <row r="102" spans="1:19" ht="12.75">
      <c r="A102" s="28" t="s">
        <v>174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2"/>
      <c r="O103" s="2"/>
      <c r="P103" s="2"/>
      <c r="Q103" s="2"/>
      <c r="R103" s="2"/>
      <c r="S103" s="2"/>
    </row>
    <row r="105" spans="7:18" ht="12.75">
      <c r="G105" s="26" t="s">
        <v>1</v>
      </c>
      <c r="H105" s="26"/>
      <c r="I105" s="26"/>
      <c r="J105" s="26"/>
      <c r="K105" s="26"/>
      <c r="L105" s="26"/>
      <c r="P105" s="5" t="s">
        <v>2</v>
      </c>
      <c r="R105" s="5" t="s">
        <v>3</v>
      </c>
    </row>
    <row r="106" spans="1:18" ht="12.75">
      <c r="A106" s="4" t="s">
        <v>88</v>
      </c>
      <c r="B106" s="6"/>
      <c r="C106" s="7" t="s">
        <v>4</v>
      </c>
      <c r="D106" s="7" t="s">
        <v>5</v>
      </c>
      <c r="E106" s="7" t="s">
        <v>6</v>
      </c>
      <c r="F106" s="6"/>
      <c r="G106" s="7" t="s">
        <v>7</v>
      </c>
      <c r="H106" s="7" t="s">
        <v>8</v>
      </c>
      <c r="I106" s="7" t="s">
        <v>9</v>
      </c>
      <c r="J106" s="7">
        <v>5</v>
      </c>
      <c r="K106" s="7">
        <v>6</v>
      </c>
      <c r="L106" s="7">
        <v>7</v>
      </c>
      <c r="M106" s="6"/>
      <c r="N106" s="21" t="s">
        <v>10</v>
      </c>
      <c r="O106" s="6"/>
      <c r="P106" s="8" t="s">
        <v>11</v>
      </c>
      <c r="Q106" s="6"/>
      <c r="R106" s="8" t="s">
        <v>12</v>
      </c>
    </row>
    <row r="107" spans="2:18" ht="12" customHeight="1">
      <c r="B107" s="9" t="s">
        <v>112</v>
      </c>
      <c r="C107" s="3">
        <f>D107+E107</f>
        <v>32</v>
      </c>
      <c r="D107" s="3">
        <v>22</v>
      </c>
      <c r="E107" s="3">
        <v>10</v>
      </c>
      <c r="I107" s="3">
        <v>2</v>
      </c>
      <c r="N107" s="19">
        <f>(C107-P107)</f>
        <v>10</v>
      </c>
      <c r="P107" s="3">
        <v>22</v>
      </c>
      <c r="R107" s="3">
        <v>18</v>
      </c>
    </row>
    <row r="108" spans="2:16" ht="12" customHeight="1">
      <c r="B108" s="9" t="s">
        <v>113</v>
      </c>
      <c r="C108" s="3">
        <f>D108+E108</f>
        <v>1</v>
      </c>
      <c r="D108" s="3">
        <v>1</v>
      </c>
      <c r="N108" s="19">
        <f>(C108-P108)</f>
        <v>1</v>
      </c>
      <c r="P108" s="3">
        <v>0</v>
      </c>
    </row>
    <row r="109" spans="2:18" ht="12" customHeight="1">
      <c r="B109" s="9" t="s">
        <v>220</v>
      </c>
      <c r="C109" s="3">
        <f>D109+E109</f>
        <v>16</v>
      </c>
      <c r="D109" s="3">
        <v>10</v>
      </c>
      <c r="E109" s="3">
        <v>6</v>
      </c>
      <c r="N109" s="19">
        <f>(C109-P109)</f>
        <v>11</v>
      </c>
      <c r="P109" s="3">
        <v>5</v>
      </c>
      <c r="R109" s="3">
        <v>3</v>
      </c>
    </row>
    <row r="110" spans="2:18" ht="12" customHeight="1">
      <c r="B110" s="9" t="s">
        <v>114</v>
      </c>
      <c r="C110" s="3">
        <f>D110+E110</f>
        <v>43</v>
      </c>
      <c r="D110" s="3">
        <v>25</v>
      </c>
      <c r="E110" s="3">
        <v>18</v>
      </c>
      <c r="H110" s="3">
        <v>1</v>
      </c>
      <c r="I110" s="3">
        <v>3</v>
      </c>
      <c r="N110" s="19">
        <f>(C110-P110)</f>
        <v>26</v>
      </c>
      <c r="P110" s="3">
        <v>17</v>
      </c>
      <c r="R110" s="3">
        <v>10</v>
      </c>
    </row>
    <row r="111" spans="2:16" ht="12" customHeight="1">
      <c r="B111" s="9" t="s">
        <v>115</v>
      </c>
      <c r="C111" s="3">
        <f>D111+E111</f>
        <v>11</v>
      </c>
      <c r="D111" s="3">
        <v>4</v>
      </c>
      <c r="E111" s="3">
        <v>7</v>
      </c>
      <c r="K111" s="3">
        <v>2</v>
      </c>
      <c r="N111" s="19">
        <f>(C111-P111)</f>
        <v>9</v>
      </c>
      <c r="P111" s="3">
        <v>2</v>
      </c>
    </row>
    <row r="113" spans="1:18" ht="12.75">
      <c r="A113" s="9" t="s">
        <v>4</v>
      </c>
      <c r="C113" s="3">
        <f>SUM(C107:C111)</f>
        <v>103</v>
      </c>
      <c r="D113" s="3">
        <f>SUM(D107:D111)</f>
        <v>62</v>
      </c>
      <c r="E113" s="3">
        <f>SUM(E107:E111)</f>
        <v>41</v>
      </c>
      <c r="G113" s="3">
        <f aca="true" t="shared" si="14" ref="G113:L113">SUM(G107:G111)</f>
        <v>0</v>
      </c>
      <c r="H113" s="3">
        <f t="shared" si="14"/>
        <v>1</v>
      </c>
      <c r="I113" s="3">
        <f t="shared" si="14"/>
        <v>5</v>
      </c>
      <c r="J113" s="3">
        <f t="shared" si="14"/>
        <v>0</v>
      </c>
      <c r="K113" s="3">
        <f t="shared" si="14"/>
        <v>2</v>
      </c>
      <c r="L113" s="3">
        <f t="shared" si="14"/>
        <v>0</v>
      </c>
      <c r="N113" s="19">
        <f>SUM(N107:N111)</f>
        <v>57</v>
      </c>
      <c r="P113" s="3">
        <f>SUM(P107:P111)</f>
        <v>46</v>
      </c>
      <c r="R113" s="3">
        <f>SUM(R107:R111)</f>
        <v>31</v>
      </c>
    </row>
    <row r="117" spans="1:18" ht="12.75">
      <c r="A117" s="9" t="s">
        <v>116</v>
      </c>
      <c r="G117" s="26" t="s">
        <v>1</v>
      </c>
      <c r="H117" s="26"/>
      <c r="I117" s="26"/>
      <c r="J117" s="26"/>
      <c r="K117" s="26"/>
      <c r="L117" s="26"/>
      <c r="P117" s="5" t="s">
        <v>2</v>
      </c>
      <c r="R117" s="5" t="s">
        <v>3</v>
      </c>
    </row>
    <row r="118" spans="1:18" ht="12.75">
      <c r="A118" s="4" t="s">
        <v>117</v>
      </c>
      <c r="B118" s="6"/>
      <c r="C118" s="7" t="s">
        <v>4</v>
      </c>
      <c r="D118" s="7" t="s">
        <v>5</v>
      </c>
      <c r="E118" s="7" t="s">
        <v>6</v>
      </c>
      <c r="F118" s="6"/>
      <c r="G118" s="7" t="s">
        <v>7</v>
      </c>
      <c r="H118" s="7" t="s">
        <v>8</v>
      </c>
      <c r="I118" s="7" t="s">
        <v>9</v>
      </c>
      <c r="J118" s="7">
        <v>5</v>
      </c>
      <c r="K118" s="7">
        <v>6</v>
      </c>
      <c r="L118" s="7">
        <v>7</v>
      </c>
      <c r="M118" s="6"/>
      <c r="N118" s="21" t="s">
        <v>10</v>
      </c>
      <c r="O118" s="6"/>
      <c r="P118" s="8" t="s">
        <v>11</v>
      </c>
      <c r="Q118" s="6"/>
      <c r="R118" s="8" t="s">
        <v>12</v>
      </c>
    </row>
    <row r="119" spans="2:18" ht="12" customHeight="1">
      <c r="B119" s="9" t="s">
        <v>118</v>
      </c>
      <c r="C119" s="3">
        <f aca="true" t="shared" si="15" ref="C119:C136">D119+E119</f>
        <v>451</v>
      </c>
      <c r="D119" s="3">
        <v>256</v>
      </c>
      <c r="E119" s="3">
        <v>195</v>
      </c>
      <c r="H119" s="3">
        <f>16+7</f>
        <v>23</v>
      </c>
      <c r="I119" s="3">
        <v>16</v>
      </c>
      <c r="K119" s="3">
        <v>14</v>
      </c>
      <c r="L119" s="3">
        <v>1</v>
      </c>
      <c r="N119" s="19">
        <f aca="true" t="shared" si="16" ref="N119:N133">(C119-P119)</f>
        <v>267</v>
      </c>
      <c r="P119" s="3">
        <f>94+90</f>
        <v>184</v>
      </c>
      <c r="R119" s="3">
        <v>30</v>
      </c>
    </row>
    <row r="120" spans="2:18" ht="12" customHeight="1">
      <c r="B120" s="9" t="s">
        <v>133</v>
      </c>
      <c r="C120" s="3">
        <f t="shared" si="15"/>
        <v>9</v>
      </c>
      <c r="D120" s="3">
        <v>5</v>
      </c>
      <c r="E120" s="3">
        <v>4</v>
      </c>
      <c r="G120" s="3">
        <v>2</v>
      </c>
      <c r="N120" s="19">
        <f t="shared" si="16"/>
        <v>0</v>
      </c>
      <c r="P120" s="3">
        <v>9</v>
      </c>
      <c r="R120" s="3">
        <v>8</v>
      </c>
    </row>
    <row r="121" spans="2:18" ht="12" customHeight="1">
      <c r="B121" s="9" t="s">
        <v>119</v>
      </c>
      <c r="C121" s="3">
        <f t="shared" si="15"/>
        <v>11</v>
      </c>
      <c r="D121" s="3">
        <v>7</v>
      </c>
      <c r="E121" s="3">
        <v>4</v>
      </c>
      <c r="I121" s="3">
        <v>1</v>
      </c>
      <c r="N121" s="19">
        <f t="shared" si="16"/>
        <v>2</v>
      </c>
      <c r="P121" s="3">
        <v>9</v>
      </c>
      <c r="R121" s="3">
        <v>7</v>
      </c>
    </row>
    <row r="122" spans="2:18" ht="12" customHeight="1">
      <c r="B122" s="9" t="s">
        <v>221</v>
      </c>
      <c r="C122" s="3">
        <f>D122+E122</f>
        <v>1</v>
      </c>
      <c r="D122" s="3">
        <v>1</v>
      </c>
      <c r="N122" s="19">
        <f>(C122-P122)</f>
        <v>0</v>
      </c>
      <c r="P122" s="3">
        <v>1</v>
      </c>
      <c r="R122" s="3">
        <v>1</v>
      </c>
    </row>
    <row r="123" spans="2:16" ht="12" customHeight="1">
      <c r="B123" s="9" t="s">
        <v>131</v>
      </c>
      <c r="C123" s="3">
        <f t="shared" si="15"/>
        <v>0</v>
      </c>
      <c r="N123" s="19">
        <f t="shared" si="16"/>
        <v>0</v>
      </c>
      <c r="P123" s="3">
        <v>0</v>
      </c>
    </row>
    <row r="124" spans="2:18" ht="12.75">
      <c r="B124" s="9" t="s">
        <v>120</v>
      </c>
      <c r="C124" s="3">
        <f t="shared" si="15"/>
        <v>13</v>
      </c>
      <c r="D124" s="3">
        <v>6</v>
      </c>
      <c r="E124" s="3">
        <v>7</v>
      </c>
      <c r="H124" s="3">
        <v>1</v>
      </c>
      <c r="N124" s="19">
        <f t="shared" si="16"/>
        <v>2</v>
      </c>
      <c r="P124" s="3">
        <v>11</v>
      </c>
      <c r="R124" s="3">
        <v>7</v>
      </c>
    </row>
    <row r="125" spans="2:18" ht="12.75">
      <c r="B125" s="9" t="s">
        <v>209</v>
      </c>
      <c r="C125" s="3">
        <f t="shared" si="15"/>
        <v>1</v>
      </c>
      <c r="E125" s="3">
        <v>1</v>
      </c>
      <c r="N125" s="19">
        <f t="shared" si="16"/>
        <v>0</v>
      </c>
      <c r="P125" s="3">
        <v>1</v>
      </c>
      <c r="R125" s="3">
        <v>1</v>
      </c>
    </row>
    <row r="126" spans="2:18" ht="12.75">
      <c r="B126" s="9" t="s">
        <v>134</v>
      </c>
      <c r="C126" s="3">
        <f t="shared" si="15"/>
        <v>35</v>
      </c>
      <c r="D126" s="3">
        <v>16</v>
      </c>
      <c r="E126" s="3">
        <v>19</v>
      </c>
      <c r="H126" s="3">
        <v>2</v>
      </c>
      <c r="I126" s="3">
        <v>2</v>
      </c>
      <c r="N126" s="19">
        <f t="shared" si="16"/>
        <v>10</v>
      </c>
      <c r="P126" s="3">
        <f>9+16</f>
        <v>25</v>
      </c>
      <c r="R126" s="3">
        <v>2</v>
      </c>
    </row>
    <row r="127" spans="2:18" ht="12.75">
      <c r="B127" s="9" t="s">
        <v>121</v>
      </c>
      <c r="C127" s="3">
        <f t="shared" si="15"/>
        <v>4</v>
      </c>
      <c r="D127" s="3">
        <v>1</v>
      </c>
      <c r="E127" s="3">
        <v>3</v>
      </c>
      <c r="N127" s="19">
        <f t="shared" si="16"/>
        <v>2</v>
      </c>
      <c r="P127" s="3">
        <v>2</v>
      </c>
      <c r="R127" s="3">
        <v>1</v>
      </c>
    </row>
    <row r="128" spans="2:16" ht="12" customHeight="1">
      <c r="B128" s="9" t="s">
        <v>127</v>
      </c>
      <c r="C128" s="3">
        <f>D128+E128</f>
        <v>10</v>
      </c>
      <c r="D128" s="3">
        <v>9</v>
      </c>
      <c r="E128" s="3">
        <v>1</v>
      </c>
      <c r="H128" s="3">
        <v>1</v>
      </c>
      <c r="N128" s="19">
        <f>(C128-P128)</f>
        <v>4</v>
      </c>
      <c r="P128" s="3">
        <v>6</v>
      </c>
    </row>
    <row r="129" spans="2:18" ht="12" customHeight="1">
      <c r="B129" s="9" t="s">
        <v>122</v>
      </c>
      <c r="C129" s="3">
        <f t="shared" si="15"/>
        <v>77</v>
      </c>
      <c r="D129" s="3">
        <v>25</v>
      </c>
      <c r="E129" s="3">
        <v>52</v>
      </c>
      <c r="G129" s="3">
        <v>3</v>
      </c>
      <c r="H129" s="3">
        <v>10</v>
      </c>
      <c r="K129" s="3">
        <v>3</v>
      </c>
      <c r="N129" s="19">
        <f t="shared" si="16"/>
        <v>43</v>
      </c>
      <c r="P129" s="3">
        <f>13+21</f>
        <v>34</v>
      </c>
      <c r="R129" s="3">
        <v>12</v>
      </c>
    </row>
    <row r="130" spans="2:18" ht="12" customHeight="1">
      <c r="B130" s="9" t="s">
        <v>222</v>
      </c>
      <c r="C130" s="3">
        <f t="shared" si="15"/>
        <v>5</v>
      </c>
      <c r="D130" s="3">
        <v>4</v>
      </c>
      <c r="E130" s="3">
        <v>1</v>
      </c>
      <c r="N130" s="19">
        <f t="shared" si="16"/>
        <v>0</v>
      </c>
      <c r="P130" s="3">
        <v>5</v>
      </c>
      <c r="R130" s="3">
        <v>4</v>
      </c>
    </row>
    <row r="131" spans="2:18" ht="12" customHeight="1">
      <c r="B131" s="9" t="s">
        <v>123</v>
      </c>
      <c r="C131" s="3">
        <f t="shared" si="15"/>
        <v>2</v>
      </c>
      <c r="D131" s="3">
        <v>1</v>
      </c>
      <c r="E131" s="3">
        <v>1</v>
      </c>
      <c r="N131" s="19">
        <f t="shared" si="16"/>
        <v>1</v>
      </c>
      <c r="P131" s="3">
        <v>1</v>
      </c>
      <c r="R131" s="3">
        <v>1</v>
      </c>
    </row>
    <row r="132" spans="2:16" ht="12" customHeight="1">
      <c r="B132" s="9" t="s">
        <v>172</v>
      </c>
      <c r="C132" s="3">
        <f>D132+E132</f>
        <v>2</v>
      </c>
      <c r="E132" s="3">
        <v>2</v>
      </c>
      <c r="N132" s="19">
        <f>(C132-P132)</f>
        <v>0</v>
      </c>
      <c r="P132" s="3">
        <v>2</v>
      </c>
    </row>
    <row r="133" spans="2:18" ht="12" customHeight="1">
      <c r="B133" s="9" t="s">
        <v>223</v>
      </c>
      <c r="C133" s="3">
        <f t="shared" si="15"/>
        <v>5</v>
      </c>
      <c r="D133" s="3">
        <v>3</v>
      </c>
      <c r="E133" s="3">
        <v>2</v>
      </c>
      <c r="N133" s="19">
        <f t="shared" si="16"/>
        <v>0</v>
      </c>
      <c r="P133" s="3">
        <v>5</v>
      </c>
      <c r="R133" s="3">
        <v>4</v>
      </c>
    </row>
    <row r="134" spans="2:18" ht="12" customHeight="1">
      <c r="B134" s="9" t="s">
        <v>224</v>
      </c>
      <c r="C134" s="3">
        <f>D134+E134</f>
        <v>19</v>
      </c>
      <c r="D134" s="3">
        <v>16</v>
      </c>
      <c r="E134" s="3">
        <v>3</v>
      </c>
      <c r="I134" s="3">
        <v>1</v>
      </c>
      <c r="K134" s="3">
        <v>1</v>
      </c>
      <c r="N134" s="19">
        <f>(C134-P134)</f>
        <v>6</v>
      </c>
      <c r="P134" s="3">
        <v>13</v>
      </c>
      <c r="R134" s="3">
        <v>5</v>
      </c>
    </row>
    <row r="135" spans="2:16" ht="12" customHeight="1">
      <c r="B135" s="9" t="s">
        <v>128</v>
      </c>
      <c r="C135" s="3">
        <f t="shared" si="15"/>
        <v>0</v>
      </c>
      <c r="N135" s="19">
        <f>(C135-P135)</f>
        <v>0</v>
      </c>
      <c r="P135" s="3">
        <v>0</v>
      </c>
    </row>
    <row r="136" spans="2:18" ht="12" customHeight="1">
      <c r="B136" s="9" t="s">
        <v>129</v>
      </c>
      <c r="C136" s="3">
        <f t="shared" si="15"/>
        <v>5</v>
      </c>
      <c r="D136" s="3">
        <v>3</v>
      </c>
      <c r="E136" s="3">
        <v>2</v>
      </c>
      <c r="H136" s="3">
        <v>1</v>
      </c>
      <c r="N136" s="19">
        <f>(C136-P136)</f>
        <v>1</v>
      </c>
      <c r="P136" s="3">
        <v>4</v>
      </c>
      <c r="R136" s="3">
        <v>2</v>
      </c>
    </row>
    <row r="138" spans="1:18" ht="12.75">
      <c r="A138" s="9" t="s">
        <v>4</v>
      </c>
      <c r="C138" s="3">
        <f>SUM(C119:C137)</f>
        <v>650</v>
      </c>
      <c r="D138" s="3">
        <f>SUM(D119:D137)</f>
        <v>353</v>
      </c>
      <c r="E138" s="3">
        <f aca="true" t="shared" si="17" ref="E138:L138">SUM(E119:E136)</f>
        <v>297</v>
      </c>
      <c r="F138" s="3">
        <f t="shared" si="17"/>
        <v>0</v>
      </c>
      <c r="G138" s="3">
        <f t="shared" si="17"/>
        <v>5</v>
      </c>
      <c r="H138" s="3">
        <f t="shared" si="17"/>
        <v>38</v>
      </c>
      <c r="I138" s="3">
        <f t="shared" si="17"/>
        <v>20</v>
      </c>
      <c r="J138" s="3">
        <f t="shared" si="17"/>
        <v>0</v>
      </c>
      <c r="K138" s="3">
        <f t="shared" si="17"/>
        <v>18</v>
      </c>
      <c r="L138" s="3">
        <f t="shared" si="17"/>
        <v>1</v>
      </c>
      <c r="N138" s="19">
        <f>SUM(N119:N137)</f>
        <v>338</v>
      </c>
      <c r="P138" s="3">
        <f>SUM(P119:P136)</f>
        <v>312</v>
      </c>
      <c r="R138" s="3">
        <f>SUM(R119:R136)</f>
        <v>85</v>
      </c>
    </row>
    <row r="139" ht="12.75">
      <c r="H139" s="6"/>
    </row>
    <row r="140" ht="12.75">
      <c r="H140" s="6"/>
    </row>
    <row r="141" ht="12.75">
      <c r="H141" s="6"/>
    </row>
    <row r="142" spans="7:18" ht="12.75">
      <c r="G142" s="26" t="s">
        <v>1</v>
      </c>
      <c r="H142" s="26"/>
      <c r="I142" s="26"/>
      <c r="J142" s="26"/>
      <c r="K142" s="26"/>
      <c r="L142" s="26"/>
      <c r="P142" s="5" t="s">
        <v>2</v>
      </c>
      <c r="R142" s="5" t="s">
        <v>3</v>
      </c>
    </row>
    <row r="143" spans="3:18" ht="12.75">
      <c r="C143" s="7" t="s">
        <v>4</v>
      </c>
      <c r="D143" s="7" t="s">
        <v>5</v>
      </c>
      <c r="E143" s="7" t="s">
        <v>6</v>
      </c>
      <c r="F143" s="6"/>
      <c r="G143" s="7" t="s">
        <v>7</v>
      </c>
      <c r="H143" s="7" t="s">
        <v>8</v>
      </c>
      <c r="I143" s="7" t="s">
        <v>9</v>
      </c>
      <c r="J143" s="7">
        <v>5</v>
      </c>
      <c r="K143" s="7">
        <v>6</v>
      </c>
      <c r="L143" s="7">
        <v>7</v>
      </c>
      <c r="M143" s="6"/>
      <c r="N143" s="21" t="s">
        <v>10</v>
      </c>
      <c r="O143" s="6"/>
      <c r="P143" s="8" t="s">
        <v>11</v>
      </c>
      <c r="Q143" s="6"/>
      <c r="R143" s="8" t="s">
        <v>12</v>
      </c>
    </row>
    <row r="145" spans="1:18" ht="12.75">
      <c r="A145" s="9" t="s">
        <v>124</v>
      </c>
      <c r="C145" s="3">
        <f aca="true" t="shared" si="18" ref="C145:L145">C24+C33+C44+C63+C77+C101+C113+C138</f>
        <v>4860</v>
      </c>
      <c r="D145" s="3">
        <f t="shared" si="18"/>
        <v>2846</v>
      </c>
      <c r="E145" s="3">
        <f t="shared" si="18"/>
        <v>2014</v>
      </c>
      <c r="F145" s="3">
        <f t="shared" si="18"/>
        <v>0</v>
      </c>
      <c r="G145" s="3">
        <f t="shared" si="18"/>
        <v>13</v>
      </c>
      <c r="H145" s="3">
        <f t="shared" si="18"/>
        <v>153</v>
      </c>
      <c r="I145" s="3">
        <f t="shared" si="18"/>
        <v>107</v>
      </c>
      <c r="J145" s="3">
        <f t="shared" si="18"/>
        <v>0</v>
      </c>
      <c r="K145" s="3">
        <f t="shared" si="18"/>
        <v>93</v>
      </c>
      <c r="L145" s="3">
        <f t="shared" si="18"/>
        <v>16</v>
      </c>
      <c r="N145" s="19">
        <f>N24+N33+N44+N63+N77+N101+N113+N138</f>
        <v>2072</v>
      </c>
      <c r="P145" s="3">
        <f>P24+P33+P44+P63+P77+P101+P113+P138</f>
        <v>2788</v>
      </c>
      <c r="R145" s="3">
        <f>R24+R33+R44+R63+R77+R101+R113+R138</f>
        <v>1559</v>
      </c>
    </row>
    <row r="152" ht="12.75">
      <c r="A152" s="9" t="s">
        <v>125</v>
      </c>
    </row>
    <row r="153" ht="12.75">
      <c r="B153" s="9" t="s">
        <v>93</v>
      </c>
    </row>
    <row r="154" ht="12.75">
      <c r="B154" s="9" t="s">
        <v>94</v>
      </c>
    </row>
    <row r="155" ht="12.75">
      <c r="B155" s="9" t="s">
        <v>226</v>
      </c>
    </row>
    <row r="156" ht="12.75">
      <c r="B156" s="9" t="s">
        <v>227</v>
      </c>
    </row>
    <row r="157" ht="12.75">
      <c r="B157" s="9" t="s">
        <v>228</v>
      </c>
    </row>
    <row r="158" ht="12.75">
      <c r="B158" s="25" t="s">
        <v>229</v>
      </c>
    </row>
    <row r="160" ht="12.75">
      <c r="A160" s="9" t="s">
        <v>95</v>
      </c>
    </row>
  </sheetData>
  <sheetProtection/>
  <mergeCells count="10">
    <mergeCell ref="G105:L105"/>
    <mergeCell ref="G117:L117"/>
    <mergeCell ref="G142:L142"/>
    <mergeCell ref="A48:S48"/>
    <mergeCell ref="A102:S102"/>
    <mergeCell ref="G5:L5"/>
    <mergeCell ref="G27:L27"/>
    <mergeCell ref="G37:L37"/>
    <mergeCell ref="G51:L51"/>
    <mergeCell ref="G67:L67"/>
  </mergeCells>
  <printOptions horizontalCentered="1"/>
  <pageMargins left="0.5" right="0.5" top="0.75" bottom="0.5" header="0.5" footer="0.5"/>
  <pageSetup fitToHeight="0" horizontalDpi="300" verticalDpi="300" orientation="portrait" scale="95" r:id="rId1"/>
  <headerFooter alignWithMargins="0">
    <oddHeader>&amp;R&amp;"Times New Roman,Regular"Page &amp;P</oddHeader>
  </headerFooter>
  <rowBreaks count="2" manualBreakCount="2">
    <brk id="47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mkmcdow</cp:lastModifiedBy>
  <cp:lastPrinted>2009-09-10T18:08:05Z</cp:lastPrinted>
  <dcterms:created xsi:type="dcterms:W3CDTF">1999-09-01T19:18:26Z</dcterms:created>
  <dcterms:modified xsi:type="dcterms:W3CDTF">2009-09-25T17:51:56Z</dcterms:modified>
  <cp:category/>
  <cp:version/>
  <cp:contentType/>
  <cp:contentStatus/>
</cp:coreProperties>
</file>