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265" activeTab="0"/>
  </bookViews>
  <sheets>
    <sheet name="UGs" sheetId="1" r:id="rId1"/>
    <sheet name="Vet Med" sheetId="2" r:id="rId2"/>
    <sheet name="Grads" sheetId="3" r:id="rId3"/>
    <sheet name="Post Docs" sheetId="4" r:id="rId4"/>
  </sheets>
  <definedNames>
    <definedName name="_xlnm.Print_Area" localSheetId="2">'Grads'!$A$1:$S$160</definedName>
    <definedName name="_xlnm.Print_Area" localSheetId="3">'Post Docs'!$A$1:$F$45</definedName>
    <definedName name="_xlnm.Print_Area" localSheetId="0">'UGs'!$A$1:$S$228</definedName>
    <definedName name="_xlnm.Print_Area" localSheetId="1">'Vet Med'!$A$1:$S$49</definedName>
  </definedNames>
  <calcPr fullCalcOnLoad="1"/>
</workbook>
</file>

<file path=xl/sharedStrings.xml><?xml version="1.0" encoding="utf-8"?>
<sst xmlns="http://schemas.openxmlformats.org/spreadsheetml/2006/main" count="514" uniqueCount="245">
  <si>
    <t>UNDERGRADUATES</t>
  </si>
  <si>
    <t>Minorities*</t>
  </si>
  <si>
    <t>Non-</t>
  </si>
  <si>
    <t>Inter-</t>
  </si>
  <si>
    <t>Total</t>
  </si>
  <si>
    <t>Male</t>
  </si>
  <si>
    <t>Female</t>
  </si>
  <si>
    <t>1</t>
  </si>
  <si>
    <t>2</t>
  </si>
  <si>
    <t>4</t>
  </si>
  <si>
    <t>Resident</t>
  </si>
  <si>
    <t>resident</t>
  </si>
  <si>
    <t>national**</t>
  </si>
  <si>
    <t>Agricultural Biochemistry</t>
  </si>
  <si>
    <t>Agricultural Business</t>
  </si>
  <si>
    <t>Agricultural Studies</t>
  </si>
  <si>
    <t>Agronomy</t>
  </si>
  <si>
    <t>Animal Ecology</t>
  </si>
  <si>
    <t>Animal Science</t>
  </si>
  <si>
    <t>Dairy Science</t>
  </si>
  <si>
    <t>Entomology</t>
  </si>
  <si>
    <t>Forestry</t>
  </si>
  <si>
    <t>General Preveterinary Medicine</t>
  </si>
  <si>
    <t>Genetics (See also LAS)</t>
  </si>
  <si>
    <t>Horticulture</t>
  </si>
  <si>
    <t>Microbiology</t>
  </si>
  <si>
    <t>Professional Agriculture</t>
  </si>
  <si>
    <t>College of Business</t>
  </si>
  <si>
    <t>Business - Undeclared</t>
  </si>
  <si>
    <t>Accounting</t>
  </si>
  <si>
    <t>Finance</t>
  </si>
  <si>
    <t>Management</t>
  </si>
  <si>
    <t>Marketing</t>
  </si>
  <si>
    <t>Pre-Business</t>
  </si>
  <si>
    <t>College of Design</t>
  </si>
  <si>
    <t>Design - Undeclared</t>
  </si>
  <si>
    <t>Art &amp; Design</t>
  </si>
  <si>
    <t>Community &amp; Regional Planning</t>
  </si>
  <si>
    <t>Graphic Design</t>
  </si>
  <si>
    <t>Interior Design</t>
  </si>
  <si>
    <t>Landscape Architecture</t>
  </si>
  <si>
    <t>Pre-Architecture</t>
  </si>
  <si>
    <t>Pre-Landscape Architecture</t>
  </si>
  <si>
    <t>Elementary Education</t>
  </si>
  <si>
    <t>Industrial Technology</t>
  </si>
  <si>
    <t>College of Engineering</t>
  </si>
  <si>
    <t>Aerospace Engineering</t>
  </si>
  <si>
    <t>Agricultural Engineering</t>
  </si>
  <si>
    <t>Chemical Engineering</t>
  </si>
  <si>
    <t>Civil Engineering</t>
  </si>
  <si>
    <t>Computer Engineering</t>
  </si>
  <si>
    <t>Construction Engineering</t>
  </si>
  <si>
    <t>Electrical Engineering</t>
  </si>
  <si>
    <t>Industrial Engineering</t>
  </si>
  <si>
    <t>Mechanical Engineering</t>
  </si>
  <si>
    <t>College of Liberal Arts &amp; Sciences</t>
  </si>
  <si>
    <t>Advertising</t>
  </si>
  <si>
    <t>Anthropology</t>
  </si>
  <si>
    <t>Biochemistry</t>
  </si>
  <si>
    <t>Biophysics</t>
  </si>
  <si>
    <t>Chemistry</t>
  </si>
  <si>
    <t>Earth Science</t>
  </si>
  <si>
    <t>English</t>
  </si>
  <si>
    <t>French</t>
  </si>
  <si>
    <t>Geology</t>
  </si>
  <si>
    <t>German</t>
  </si>
  <si>
    <t>History</t>
  </si>
  <si>
    <t>Interdisciplinary Studies</t>
  </si>
  <si>
    <t>Liberal Studies</t>
  </si>
  <si>
    <t>Linguistics</t>
  </si>
  <si>
    <t>Mathematics</t>
  </si>
  <si>
    <t>Meteorology</t>
  </si>
  <si>
    <t>Music (Curriculum)</t>
  </si>
  <si>
    <t>Music (Major)</t>
  </si>
  <si>
    <t>Performing Arts</t>
  </si>
  <si>
    <t>Philosophy</t>
  </si>
  <si>
    <t>Physics</t>
  </si>
  <si>
    <t>Political Science</t>
  </si>
  <si>
    <t>Pre-Advertising</t>
  </si>
  <si>
    <t>Pre-Biological/Pre-Medical Illustration</t>
  </si>
  <si>
    <t>Preparation for Law</t>
  </si>
  <si>
    <t>Psychology</t>
  </si>
  <si>
    <t>Religious Studies</t>
  </si>
  <si>
    <t>Spanish</t>
  </si>
  <si>
    <t>Speech Communication</t>
  </si>
  <si>
    <t>Statistics</t>
  </si>
  <si>
    <t>Women's Studies</t>
  </si>
  <si>
    <t>College of Veterinary Medicine</t>
  </si>
  <si>
    <t>Veterinary Medicine - Special</t>
  </si>
  <si>
    <t>Veterinary Medicine</t>
  </si>
  <si>
    <t>Total Undergraduates</t>
  </si>
  <si>
    <t>*Includes U.S. Citizens, Immigrants, Refugees and Asylees only.</t>
  </si>
  <si>
    <t>1 = American Indian or Alaskan Native</t>
  </si>
  <si>
    <t>2 = Black</t>
  </si>
  <si>
    <t>**Internationals are included with the nonresidents.</t>
  </si>
  <si>
    <t>Engineering - Undeclared</t>
  </si>
  <si>
    <t>Materials Engineering</t>
  </si>
  <si>
    <t>Communications Studies</t>
  </si>
  <si>
    <t>Pre-Computer Science</t>
  </si>
  <si>
    <t>Technical Communication</t>
  </si>
  <si>
    <t>GRADUATES</t>
  </si>
  <si>
    <t>Business Administration</t>
  </si>
  <si>
    <t>Architecture</t>
  </si>
  <si>
    <t>Curriculum &amp; Instruction</t>
  </si>
  <si>
    <t>Educational Leadership &amp; Policy Studies</t>
  </si>
  <si>
    <t>Health &amp; Human Performance</t>
  </si>
  <si>
    <t>Materials Science &amp; Engineering</t>
  </si>
  <si>
    <t>Systems Engineering</t>
  </si>
  <si>
    <t>Biochemistry, Biophysics, &amp; Molecular Biology</t>
  </si>
  <si>
    <t>Biomedical Sciences</t>
  </si>
  <si>
    <t>Veterinary Clinical Sciences</t>
  </si>
  <si>
    <t>Vet. Microbiology &amp; Preventive Medicine</t>
  </si>
  <si>
    <t>Veterinary Pathology</t>
  </si>
  <si>
    <t>Interdepartmental Programs &amp;</t>
  </si>
  <si>
    <t xml:space="preserve">  Graduate Undeclared</t>
  </si>
  <si>
    <t>Nondegree - Undeclared</t>
  </si>
  <si>
    <t>Bioinformatics &amp; Computational Biology</t>
  </si>
  <si>
    <t>Genetics - Interdisciplinary</t>
  </si>
  <si>
    <t>Immunobiology</t>
  </si>
  <si>
    <t>Interdisciplinary Graduate Studies</t>
  </si>
  <si>
    <t>Neurosciences</t>
  </si>
  <si>
    <t>TOTAL GRADUATES</t>
  </si>
  <si>
    <t>*Includes U.S. Citizens, Immigrants, Refugees, and Asylees only.</t>
  </si>
  <si>
    <t>Information Assurance</t>
  </si>
  <si>
    <t>Sustainable Agriculture</t>
  </si>
  <si>
    <t>Toxicology</t>
  </si>
  <si>
    <t>VETERINARY MEDICINE</t>
  </si>
  <si>
    <t>Ecology, Evolution and Organismal Biology</t>
  </si>
  <si>
    <t>Natural Resource Ecology &amp; Mgmt</t>
  </si>
  <si>
    <t>Undeclared Distance Learning</t>
  </si>
  <si>
    <t>Human Computer Interaction</t>
  </si>
  <si>
    <t>Iowa State University</t>
  </si>
  <si>
    <t>Open Option - LAS</t>
  </si>
  <si>
    <t>Agriculture-Undeclared</t>
  </si>
  <si>
    <t>Agricultural Systems Tech.</t>
  </si>
  <si>
    <t>Biology (See also LAS)</t>
  </si>
  <si>
    <t>Public Serv. &amp; Admin. in Ag.</t>
  </si>
  <si>
    <t>Logistics and Supply Chain Management</t>
  </si>
  <si>
    <t>Management Info. Systems</t>
  </si>
  <si>
    <t>Operations and Supply Chain Management</t>
  </si>
  <si>
    <t>Architecture-Profess. Degree</t>
  </si>
  <si>
    <t>Art &amp; Design-B.A.</t>
  </si>
  <si>
    <t>Art &amp; Design-B.F.A.</t>
  </si>
  <si>
    <t>Community &amp; Regional Plan.</t>
  </si>
  <si>
    <t>Human Sciences</t>
  </si>
  <si>
    <t xml:space="preserve">Child, Adult &amp; Family Services </t>
  </si>
  <si>
    <t xml:space="preserve">Early Childhood Education </t>
  </si>
  <si>
    <t>Family Finance, Housing &amp; Policy</t>
  </si>
  <si>
    <t>College of Human Sciences</t>
  </si>
  <si>
    <t>Intensive Engl. &amp; Orientation</t>
  </si>
  <si>
    <t>Computer Science</t>
  </si>
  <si>
    <t>Journalism &amp; Mass Comm.</t>
  </si>
  <si>
    <t>Pre-Journalism &amp; Mass Comm.</t>
  </si>
  <si>
    <t>Prep. for Human Medicine</t>
  </si>
  <si>
    <t>Preprofess. Health Programs</t>
  </si>
  <si>
    <t>Chemical &amp; Biological Engineering</t>
  </si>
  <si>
    <t>Veterinary Medicine Nebraska Alliance</t>
  </si>
  <si>
    <t>Agriculture - Special (Non-Degree)</t>
  </si>
  <si>
    <t>Business - Special (Non-Degree)</t>
  </si>
  <si>
    <t>Design - Special (Non-Degree)</t>
  </si>
  <si>
    <t>Engineering - Special (Non-Degree)</t>
  </si>
  <si>
    <t>Human Sciences - Special (Non-Degree)</t>
  </si>
  <si>
    <t>Lib. Arts &amp; Sciences-Special (Non-Degree)</t>
  </si>
  <si>
    <t>Kinesiology</t>
  </si>
  <si>
    <t>Agricultural Exploration</t>
  </si>
  <si>
    <t>Business Economics</t>
  </si>
  <si>
    <t>Integrated Studio Arts</t>
  </si>
  <si>
    <t>Kinesiology and Health</t>
  </si>
  <si>
    <t>Nutritional Sciences</t>
  </si>
  <si>
    <t>Agricultural &amp; Life Sciences Education</t>
  </si>
  <si>
    <t>Culinary Science (See also H Sci)</t>
  </si>
  <si>
    <t>Diet and Exercise (see also H Sci)</t>
  </si>
  <si>
    <t>Dietetics (See also H Sci)</t>
  </si>
  <si>
    <t>Environmental Science (See also LAS)</t>
  </si>
  <si>
    <t>Food Science (see also H Sci)</t>
  </si>
  <si>
    <t>Global Resource Systems</t>
  </si>
  <si>
    <t>Insect Science</t>
  </si>
  <si>
    <t>Nutritional Science (See also H Sci)</t>
  </si>
  <si>
    <t>Pre Diet &amp; Exercise - (See also H Sci)</t>
  </si>
  <si>
    <t xml:space="preserve">Zoology </t>
  </si>
  <si>
    <t>Pre-Community &amp; Regional Planning</t>
  </si>
  <si>
    <t>Biological Systems Engineering</t>
  </si>
  <si>
    <t>Software Engineering (see also LAS)</t>
  </si>
  <si>
    <t>Apparel Merchandising,
  Design and Production</t>
  </si>
  <si>
    <t>Culinary Science (See also Ag LS)</t>
  </si>
  <si>
    <t>Diet and Exercise  (See also Ag LS)</t>
  </si>
  <si>
    <t>Dietetics  (See also Ag LS)</t>
  </si>
  <si>
    <t>Family &amp; Consumer Sciences 
   Education &amp; Studies</t>
  </si>
  <si>
    <t>Food Science (See also Ag LS)</t>
  </si>
  <si>
    <t>Hotel, Restaurant and
   Institution Management</t>
  </si>
  <si>
    <t>Nutritional Science (See also Ag LS)</t>
  </si>
  <si>
    <t>Pre Diet &amp; Exercise - (See also Ag LS)</t>
  </si>
  <si>
    <t>Biology (See also Ag LS)</t>
  </si>
  <si>
    <t>Economics (See also Ag LS)</t>
  </si>
  <si>
    <t>Environmental Science ( See also Ag LS)</t>
  </si>
  <si>
    <t>Genetics (See also Ag LS)</t>
  </si>
  <si>
    <t>Sociology (See also Ag LS)</t>
  </si>
  <si>
    <t>Software Engineering (see also ENGR)</t>
  </si>
  <si>
    <t>World Languages &amp; Cultures</t>
  </si>
  <si>
    <t>Agricultural Educ. &amp; Studies</t>
  </si>
  <si>
    <t xml:space="preserve">Ecology, Evolution and Organismal Biology </t>
  </si>
  <si>
    <t>Economics</t>
  </si>
  <si>
    <t>Food Science &amp; Human Nutrition</t>
  </si>
  <si>
    <t xml:space="preserve">Genetics, Development and Cell Biology </t>
  </si>
  <si>
    <t>Sociology</t>
  </si>
  <si>
    <t>Civil, Construction &amp; Environmental Engr.</t>
  </si>
  <si>
    <t>Electrical &amp; Computer Engr.</t>
  </si>
  <si>
    <t>Ind. &amp; Manufacturing Syst. Eng.</t>
  </si>
  <si>
    <t>Apparel, Educational Studies,
  &amp; Hospitality Management</t>
  </si>
  <si>
    <t xml:space="preserve">Family &amp; Consumer Sciences </t>
  </si>
  <si>
    <t>Human Development  &amp; Family Studies</t>
  </si>
  <si>
    <t>Geological &amp; Atmospheric Sci.</t>
  </si>
  <si>
    <t>Physics and Astronomy</t>
  </si>
  <si>
    <t>Vet. Diagnostic &amp; Production Animal Medicine</t>
  </si>
  <si>
    <t>Biorenewable Resources and Tech.</t>
  </si>
  <si>
    <t>Mol. Cell. &amp; Develpmt. Biology</t>
  </si>
  <si>
    <t>Plant Biology</t>
  </si>
  <si>
    <t>Seed Technology &amp; Business</t>
  </si>
  <si>
    <t>4 = Asian</t>
  </si>
  <si>
    <t>5 = Native Hawaiian or Pacific Islander</t>
  </si>
  <si>
    <t>6 = Hispanic/Latino of any race</t>
  </si>
  <si>
    <t>7 = Two or more races</t>
  </si>
  <si>
    <t>Biological/Pre-Med. Illustration.</t>
  </si>
  <si>
    <t>College of Agriculture &amp; Life Sciences</t>
  </si>
  <si>
    <t>Supply Chain and Information Systems</t>
  </si>
  <si>
    <t>Supply Chain Management</t>
  </si>
  <si>
    <t>Industrial Design</t>
  </si>
  <si>
    <t>Pre-Graphic Design</t>
  </si>
  <si>
    <t>Pre-Integrated Studio Arts</t>
  </si>
  <si>
    <t>Pre-Interior Design</t>
  </si>
  <si>
    <t>Apparel, Merchandising &amp; Design</t>
  </si>
  <si>
    <t xml:space="preserve">Hospitality Management </t>
  </si>
  <si>
    <t>Pre-Liberal Studies</t>
  </si>
  <si>
    <t>`</t>
  </si>
  <si>
    <t>Agricultural &amp; Biosystems Engr (See also Ag LS)</t>
  </si>
  <si>
    <t xml:space="preserve">FALL SEMESTER 2011 ENROLLMENT </t>
  </si>
  <si>
    <t>(Does not include Post Docs)</t>
  </si>
  <si>
    <t>FALL SEMESTER 2011 ENROLLMENT</t>
  </si>
  <si>
    <t>POST DOCS</t>
  </si>
  <si>
    <t>Design</t>
  </si>
  <si>
    <t>Pre-Industrial Design</t>
  </si>
  <si>
    <t>Liberal Arts &amp; Sciences</t>
  </si>
  <si>
    <t>Agricultural &amp; Biosystems Engr (see also ENGR)</t>
  </si>
  <si>
    <t>Plant Pathology and Microbiology</t>
  </si>
  <si>
    <t>Event Management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</si>
</sst>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_);[Red]\(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0"/>
      <name val="Helv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 quotePrefix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4" fontId="3" fillId="0" borderId="0" xfId="0" applyNumberFormat="1" applyFont="1" applyAlignment="1">
      <alignment/>
    </xf>
    <xf numFmtId="0" fontId="41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165" fontId="2" fillId="0" borderId="0" xfId="0" applyNumberFormat="1" applyFont="1" applyAlignment="1">
      <alignment horizontal="centerContinuous"/>
    </xf>
    <xf numFmtId="165" fontId="4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7" fontId="0" fillId="0" borderId="0" xfId="56" applyFont="1" applyAlignment="1">
      <alignment horizontal="center"/>
      <protection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y gend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227"/>
  <sheetViews>
    <sheetView showGridLines="0" tabSelected="1" zoomScaleSheetLayoutView="120" zoomScalePageLayoutView="0" workbookViewId="0" topLeftCell="A1">
      <selection activeCell="T87" sqref="T87"/>
    </sheetView>
  </sheetViews>
  <sheetFormatPr defaultColWidth="9.7109375" defaultRowHeight="12.75"/>
  <cols>
    <col min="1" max="1" width="3.140625" style="3" customWidth="1"/>
    <col min="2" max="2" width="36.57421875" style="3" customWidth="1"/>
    <col min="3" max="3" width="6.421875" style="3" customWidth="1"/>
    <col min="4" max="4" width="6.28125" style="3" customWidth="1"/>
    <col min="5" max="5" width="7.28125" style="3" customWidth="1"/>
    <col min="6" max="6" width="1.1484375" style="3" customWidth="1"/>
    <col min="7" max="7" width="3.7109375" style="3" customWidth="1"/>
    <col min="8" max="10" width="4.28125" style="3" customWidth="1"/>
    <col min="11" max="11" width="3.8515625" style="3" customWidth="1"/>
    <col min="12" max="12" width="4.57421875" style="3" customWidth="1"/>
    <col min="13" max="13" width="1.1484375" style="3" customWidth="1"/>
    <col min="14" max="14" width="5.7109375" style="21" customWidth="1"/>
    <col min="15" max="15" width="2.7109375" style="3" customWidth="1"/>
    <col min="16" max="16" width="5.140625" style="3" customWidth="1"/>
    <col min="17" max="17" width="2.7109375" style="3" customWidth="1"/>
    <col min="18" max="18" width="4.7109375" style="3" customWidth="1"/>
    <col min="19" max="19" width="2.28125" style="3" customWidth="1"/>
    <col min="20" max="20" width="9.7109375" style="3" customWidth="1"/>
    <col min="21" max="16384" width="9.7109375" style="3" customWidth="1"/>
  </cols>
  <sheetData>
    <row r="1" spans="1:19" ht="15.75">
      <c r="A1" s="1" t="s">
        <v>235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4"/>
      <c r="O1" s="1"/>
      <c r="P1" s="1"/>
      <c r="Q1" s="1"/>
      <c r="R1" s="1"/>
      <c r="S1" s="2"/>
    </row>
    <row r="2" spans="1:19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4"/>
      <c r="O2" s="1"/>
      <c r="P2" s="1"/>
      <c r="Q2" s="1"/>
      <c r="R2" s="1"/>
      <c r="S2" s="2"/>
    </row>
    <row r="3" spans="1:18" ht="15.75">
      <c r="A3" s="29" t="s">
        <v>131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6" spans="7:18" ht="12.75">
      <c r="G6" s="28" t="s">
        <v>1</v>
      </c>
      <c r="H6" s="28"/>
      <c r="I6" s="28"/>
      <c r="J6" s="28"/>
      <c r="K6" s="28"/>
      <c r="L6" s="28"/>
      <c r="P6" s="5" t="s">
        <v>2</v>
      </c>
      <c r="R6" s="5" t="s">
        <v>3</v>
      </c>
    </row>
    <row r="7" spans="1:18" ht="12.75">
      <c r="A7" s="4" t="s">
        <v>223</v>
      </c>
      <c r="B7" s="6"/>
      <c r="C7" s="7" t="s">
        <v>4</v>
      </c>
      <c r="D7" s="7" t="s">
        <v>5</v>
      </c>
      <c r="E7" s="7" t="s">
        <v>6</v>
      </c>
      <c r="F7" s="6"/>
      <c r="G7" s="7" t="s">
        <v>7</v>
      </c>
      <c r="H7" s="7" t="s">
        <v>8</v>
      </c>
      <c r="I7" s="7" t="s">
        <v>9</v>
      </c>
      <c r="J7" s="7">
        <v>5</v>
      </c>
      <c r="K7" s="7">
        <v>6</v>
      </c>
      <c r="L7" s="7">
        <v>7</v>
      </c>
      <c r="M7" s="6"/>
      <c r="N7" s="25" t="s">
        <v>10</v>
      </c>
      <c r="O7" s="6"/>
      <c r="P7" s="8" t="s">
        <v>11</v>
      </c>
      <c r="Q7" s="6"/>
      <c r="R7" s="8" t="s">
        <v>12</v>
      </c>
    </row>
    <row r="8" spans="2:18" ht="12" customHeight="1">
      <c r="B8" s="14" t="s">
        <v>157</v>
      </c>
      <c r="C8" s="3">
        <f>D8+E8</f>
        <v>70</v>
      </c>
      <c r="D8" s="3">
        <v>40</v>
      </c>
      <c r="E8" s="3">
        <v>30</v>
      </c>
      <c r="G8" s="3">
        <v>1</v>
      </c>
      <c r="H8" s="3">
        <v>1</v>
      </c>
      <c r="K8" s="3">
        <v>3</v>
      </c>
      <c r="N8" s="21">
        <f>(C8-P8)</f>
        <v>25</v>
      </c>
      <c r="P8" s="3">
        <f>29+16</f>
        <v>45</v>
      </c>
      <c r="R8" s="3">
        <v>5</v>
      </c>
    </row>
    <row r="9" spans="2:14" ht="12" customHeight="1">
      <c r="B9" s="14" t="s">
        <v>133</v>
      </c>
      <c r="C9" s="3">
        <f>D9+E9</f>
        <v>0</v>
      </c>
      <c r="D9" s="3">
        <v>0</v>
      </c>
      <c r="E9" s="3">
        <v>0</v>
      </c>
      <c r="N9" s="21">
        <f>(C9-P9)</f>
        <v>0</v>
      </c>
    </row>
    <row r="10" spans="2:16" ht="12" customHeight="1">
      <c r="B10" s="14" t="s">
        <v>169</v>
      </c>
      <c r="C10" s="3">
        <f>D10+E10</f>
        <v>136</v>
      </c>
      <c r="D10" s="3">
        <v>44</v>
      </c>
      <c r="E10" s="3">
        <v>92</v>
      </c>
      <c r="I10" s="3">
        <v>1</v>
      </c>
      <c r="L10" s="3">
        <v>1</v>
      </c>
      <c r="N10" s="21">
        <f>(C10-P10)</f>
        <v>122</v>
      </c>
      <c r="P10" s="3">
        <v>14</v>
      </c>
    </row>
    <row r="11" spans="2:18" ht="12" customHeight="1">
      <c r="B11" s="14" t="s">
        <v>13</v>
      </c>
      <c r="C11" s="3">
        <f aca="true" t="shared" si="0" ref="C11:C27">D11+E11</f>
        <v>24</v>
      </c>
      <c r="D11" s="3">
        <v>16</v>
      </c>
      <c r="E11" s="3">
        <v>8</v>
      </c>
      <c r="H11" s="3">
        <v>1</v>
      </c>
      <c r="I11" s="3">
        <v>1</v>
      </c>
      <c r="L11" s="3">
        <v>1</v>
      </c>
      <c r="N11" s="21">
        <f aca="true" t="shared" si="1" ref="N11:N27">(C11-P11)</f>
        <v>18</v>
      </c>
      <c r="P11" s="3">
        <v>6</v>
      </c>
      <c r="R11" s="3">
        <v>2</v>
      </c>
    </row>
    <row r="12" spans="2:18" ht="12" customHeight="1">
      <c r="B12" s="14" t="s">
        <v>14</v>
      </c>
      <c r="C12" s="3">
        <f t="shared" si="0"/>
        <v>359</v>
      </c>
      <c r="D12" s="3">
        <v>256</v>
      </c>
      <c r="E12" s="3">
        <v>103</v>
      </c>
      <c r="K12" s="3">
        <v>3</v>
      </c>
      <c r="N12" s="21">
        <f t="shared" si="1"/>
        <v>315</v>
      </c>
      <c r="P12" s="3">
        <f>29+15</f>
        <v>44</v>
      </c>
      <c r="R12" s="3">
        <v>4</v>
      </c>
    </row>
    <row r="13" spans="2:16" ht="12" customHeight="1">
      <c r="B13" s="14" t="s">
        <v>164</v>
      </c>
      <c r="C13" s="3">
        <f>D13+E13</f>
        <v>49</v>
      </c>
      <c r="D13" s="3">
        <v>29</v>
      </c>
      <c r="E13" s="3">
        <v>20</v>
      </c>
      <c r="K13" s="3">
        <v>2</v>
      </c>
      <c r="N13" s="21">
        <f>(C13-P13)</f>
        <v>40</v>
      </c>
      <c r="P13" s="3">
        <v>9</v>
      </c>
    </row>
    <row r="14" spans="2:16" ht="12" customHeight="1">
      <c r="B14" s="15" t="s">
        <v>15</v>
      </c>
      <c r="C14" s="3">
        <f t="shared" si="0"/>
        <v>302</v>
      </c>
      <c r="D14" s="3">
        <v>242</v>
      </c>
      <c r="E14" s="3">
        <v>60</v>
      </c>
      <c r="I14" s="3">
        <v>2</v>
      </c>
      <c r="K14" s="3">
        <v>1</v>
      </c>
      <c r="L14" s="3">
        <v>1</v>
      </c>
      <c r="N14" s="21">
        <f t="shared" si="1"/>
        <v>285</v>
      </c>
      <c r="P14" s="3">
        <v>17</v>
      </c>
    </row>
    <row r="15" spans="2:16" ht="12" customHeight="1">
      <c r="B15" s="14" t="s">
        <v>134</v>
      </c>
      <c r="C15" s="3">
        <f t="shared" si="0"/>
        <v>154</v>
      </c>
      <c r="D15" s="3">
        <v>149</v>
      </c>
      <c r="E15" s="3">
        <v>5</v>
      </c>
      <c r="K15" s="3">
        <v>2</v>
      </c>
      <c r="N15" s="21">
        <f t="shared" si="1"/>
        <v>138</v>
      </c>
      <c r="P15" s="3">
        <v>16</v>
      </c>
    </row>
    <row r="16" spans="2:18" ht="12" customHeight="1">
      <c r="B16" s="15" t="s">
        <v>16</v>
      </c>
      <c r="C16" s="3">
        <f t="shared" si="0"/>
        <v>239</v>
      </c>
      <c r="D16" s="3">
        <v>186</v>
      </c>
      <c r="E16" s="3">
        <v>53</v>
      </c>
      <c r="G16" s="3">
        <v>1</v>
      </c>
      <c r="H16" s="3">
        <v>6</v>
      </c>
      <c r="I16" s="3">
        <v>1</v>
      </c>
      <c r="K16" s="3">
        <v>3</v>
      </c>
      <c r="N16" s="21">
        <f t="shared" si="1"/>
        <v>203</v>
      </c>
      <c r="P16" s="3">
        <f>29+7</f>
        <v>36</v>
      </c>
      <c r="R16" s="3">
        <v>3</v>
      </c>
    </row>
    <row r="17" spans="2:18" ht="12" customHeight="1">
      <c r="B17" s="14" t="s">
        <v>17</v>
      </c>
      <c r="C17" s="3">
        <f t="shared" si="0"/>
        <v>339</v>
      </c>
      <c r="D17" s="3">
        <v>155</v>
      </c>
      <c r="E17" s="3">
        <v>184</v>
      </c>
      <c r="H17" s="3">
        <v>4</v>
      </c>
      <c r="I17" s="3">
        <v>3</v>
      </c>
      <c r="K17" s="3">
        <v>17</v>
      </c>
      <c r="L17" s="3">
        <v>3</v>
      </c>
      <c r="N17" s="21">
        <f t="shared" si="1"/>
        <v>270</v>
      </c>
      <c r="P17" s="3">
        <f>14+55</f>
        <v>69</v>
      </c>
      <c r="R17" s="3">
        <v>1</v>
      </c>
    </row>
    <row r="18" spans="2:18" ht="12" customHeight="1">
      <c r="B18" s="15" t="s">
        <v>18</v>
      </c>
      <c r="C18" s="3">
        <f t="shared" si="0"/>
        <v>823</v>
      </c>
      <c r="D18" s="3">
        <v>183</v>
      </c>
      <c r="E18" s="3">
        <v>640</v>
      </c>
      <c r="H18" s="3">
        <v>17</v>
      </c>
      <c r="I18" s="3">
        <v>12</v>
      </c>
      <c r="K18" s="3">
        <v>37</v>
      </c>
      <c r="L18" s="3">
        <v>16</v>
      </c>
      <c r="N18" s="21">
        <f t="shared" si="1"/>
        <v>589</v>
      </c>
      <c r="P18" s="3">
        <f>38+196</f>
        <v>234</v>
      </c>
      <c r="R18" s="3">
        <v>7</v>
      </c>
    </row>
    <row r="19" spans="2:18" ht="12" customHeight="1">
      <c r="B19" s="14" t="s">
        <v>135</v>
      </c>
      <c r="C19" s="3">
        <f t="shared" si="0"/>
        <v>238</v>
      </c>
      <c r="D19" s="3">
        <v>89</v>
      </c>
      <c r="E19" s="3">
        <v>149</v>
      </c>
      <c r="H19" s="3">
        <v>8</v>
      </c>
      <c r="I19" s="3">
        <v>5</v>
      </c>
      <c r="K19" s="3">
        <v>13</v>
      </c>
      <c r="L19" s="3">
        <v>3</v>
      </c>
      <c r="N19" s="21">
        <f t="shared" si="1"/>
        <v>167</v>
      </c>
      <c r="P19" s="3">
        <f>21+50</f>
        <v>71</v>
      </c>
      <c r="R19" s="3">
        <v>5</v>
      </c>
    </row>
    <row r="20" spans="2:16" ht="12" customHeight="1">
      <c r="B20" s="15" t="s">
        <v>170</v>
      </c>
      <c r="C20" s="3">
        <f t="shared" si="0"/>
        <v>6</v>
      </c>
      <c r="D20" s="3">
        <v>2</v>
      </c>
      <c r="E20" s="3">
        <v>4</v>
      </c>
      <c r="N20" s="21">
        <f t="shared" si="1"/>
        <v>4</v>
      </c>
      <c r="P20" s="3">
        <v>2</v>
      </c>
    </row>
    <row r="21" spans="2:16" ht="12" customHeight="1">
      <c r="B21" s="15" t="s">
        <v>19</v>
      </c>
      <c r="C21" s="3">
        <f>D21+E21</f>
        <v>61</v>
      </c>
      <c r="D21" s="3">
        <v>25</v>
      </c>
      <c r="E21" s="3">
        <v>36</v>
      </c>
      <c r="K21" s="3">
        <v>1</v>
      </c>
      <c r="N21" s="21">
        <f>(C21-P21)</f>
        <v>48</v>
      </c>
      <c r="P21" s="3">
        <v>13</v>
      </c>
    </row>
    <row r="22" spans="2:14" ht="12" customHeight="1">
      <c r="B22" s="15" t="s">
        <v>171</v>
      </c>
      <c r="C22" s="3">
        <f t="shared" si="0"/>
        <v>0</v>
      </c>
      <c r="D22" s="3">
        <v>0</v>
      </c>
      <c r="E22" s="3">
        <v>0</v>
      </c>
      <c r="N22" s="21">
        <f t="shared" si="1"/>
        <v>0</v>
      </c>
    </row>
    <row r="23" spans="2:18" ht="12" customHeight="1">
      <c r="B23" s="14" t="s">
        <v>172</v>
      </c>
      <c r="C23" s="3">
        <f t="shared" si="0"/>
        <v>24</v>
      </c>
      <c r="D23" s="3">
        <v>2</v>
      </c>
      <c r="E23" s="3">
        <v>22</v>
      </c>
      <c r="G23" s="3">
        <v>1</v>
      </c>
      <c r="N23" s="21">
        <f t="shared" si="1"/>
        <v>14</v>
      </c>
      <c r="P23" s="3">
        <v>10</v>
      </c>
      <c r="R23" s="3">
        <v>1</v>
      </c>
    </row>
    <row r="24" spans="2:16" ht="12" customHeight="1">
      <c r="B24" s="15" t="s">
        <v>20</v>
      </c>
      <c r="C24" s="3">
        <f t="shared" si="0"/>
        <v>4</v>
      </c>
      <c r="D24" s="3">
        <v>3</v>
      </c>
      <c r="E24" s="3">
        <v>1</v>
      </c>
      <c r="K24" s="3">
        <v>1</v>
      </c>
      <c r="N24" s="21">
        <f t="shared" si="1"/>
        <v>1</v>
      </c>
      <c r="P24" s="3">
        <v>3</v>
      </c>
    </row>
    <row r="25" spans="2:18" ht="12" customHeight="1">
      <c r="B25" s="15" t="s">
        <v>173</v>
      </c>
      <c r="C25" s="3">
        <f t="shared" si="0"/>
        <v>69</v>
      </c>
      <c r="D25" s="3">
        <v>40</v>
      </c>
      <c r="E25" s="3">
        <v>29</v>
      </c>
      <c r="H25" s="3">
        <v>1</v>
      </c>
      <c r="I25" s="3">
        <v>1</v>
      </c>
      <c r="K25" s="3">
        <v>1</v>
      </c>
      <c r="N25" s="21">
        <f t="shared" si="1"/>
        <v>46</v>
      </c>
      <c r="P25" s="3">
        <f>15+8</f>
        <v>23</v>
      </c>
      <c r="R25" s="3">
        <v>5</v>
      </c>
    </row>
    <row r="26" spans="2:18" ht="12" customHeight="1">
      <c r="B26" s="14" t="s">
        <v>174</v>
      </c>
      <c r="C26" s="3">
        <f t="shared" si="0"/>
        <v>40</v>
      </c>
      <c r="D26" s="3">
        <v>14</v>
      </c>
      <c r="E26" s="3">
        <v>26</v>
      </c>
      <c r="I26" s="3">
        <v>1</v>
      </c>
      <c r="K26" s="3">
        <v>2</v>
      </c>
      <c r="N26" s="21">
        <f t="shared" si="1"/>
        <v>13</v>
      </c>
      <c r="P26" s="3">
        <f>10+17</f>
        <v>27</v>
      </c>
      <c r="R26" s="3">
        <v>13</v>
      </c>
    </row>
    <row r="27" spans="2:16" ht="12" customHeight="1">
      <c r="B27" s="14" t="s">
        <v>21</v>
      </c>
      <c r="C27" s="3">
        <f t="shared" si="0"/>
        <v>83</v>
      </c>
      <c r="D27" s="3">
        <v>60</v>
      </c>
      <c r="E27" s="3">
        <v>23</v>
      </c>
      <c r="K27" s="3">
        <v>1</v>
      </c>
      <c r="L27" s="3">
        <v>1</v>
      </c>
      <c r="N27" s="21">
        <f t="shared" si="1"/>
        <v>81</v>
      </c>
      <c r="P27" s="3">
        <v>2</v>
      </c>
    </row>
    <row r="28" spans="2:16" ht="12" customHeight="1">
      <c r="B28" s="15" t="s">
        <v>22</v>
      </c>
      <c r="C28" s="3">
        <f aca="true" t="shared" si="2" ref="C28:C38">D28+E28</f>
        <v>40</v>
      </c>
      <c r="D28" s="3">
        <v>13</v>
      </c>
      <c r="E28" s="3">
        <v>27</v>
      </c>
      <c r="I28" s="3">
        <v>3</v>
      </c>
      <c r="K28" s="3">
        <v>1</v>
      </c>
      <c r="N28" s="21">
        <f aca="true" t="shared" si="3" ref="N28:N35">(C28-P28)</f>
        <v>26</v>
      </c>
      <c r="P28" s="3">
        <v>14</v>
      </c>
    </row>
    <row r="29" spans="2:18" ht="12" customHeight="1">
      <c r="B29" s="14" t="s">
        <v>23</v>
      </c>
      <c r="C29" s="3">
        <f t="shared" si="2"/>
        <v>45</v>
      </c>
      <c r="D29" s="3">
        <v>15</v>
      </c>
      <c r="E29" s="3">
        <v>30</v>
      </c>
      <c r="H29" s="3">
        <v>1</v>
      </c>
      <c r="K29" s="3">
        <v>3</v>
      </c>
      <c r="N29" s="21">
        <f t="shared" si="3"/>
        <v>22</v>
      </c>
      <c r="P29" s="3">
        <f>7+16</f>
        <v>23</v>
      </c>
      <c r="R29" s="3">
        <v>6</v>
      </c>
    </row>
    <row r="30" spans="2:18" ht="12" customHeight="1">
      <c r="B30" s="15" t="s">
        <v>175</v>
      </c>
      <c r="C30" s="3">
        <f t="shared" si="2"/>
        <v>47</v>
      </c>
      <c r="D30" s="3">
        <v>19</v>
      </c>
      <c r="E30" s="3">
        <v>28</v>
      </c>
      <c r="H30" s="3">
        <v>3</v>
      </c>
      <c r="K30" s="3">
        <v>2</v>
      </c>
      <c r="L30" s="3">
        <v>2</v>
      </c>
      <c r="N30" s="21">
        <f t="shared" si="3"/>
        <v>33</v>
      </c>
      <c r="P30" s="3">
        <v>14</v>
      </c>
      <c r="R30" s="3">
        <v>1</v>
      </c>
    </row>
    <row r="31" spans="2:18" ht="12" customHeight="1">
      <c r="B31" s="14" t="s">
        <v>24</v>
      </c>
      <c r="C31" s="3">
        <f t="shared" si="2"/>
        <v>141</v>
      </c>
      <c r="D31" s="3">
        <v>96</v>
      </c>
      <c r="E31" s="3">
        <v>45</v>
      </c>
      <c r="I31" s="3">
        <v>2</v>
      </c>
      <c r="J31" s="3">
        <v>1</v>
      </c>
      <c r="K31" s="3">
        <v>1</v>
      </c>
      <c r="L31" s="3">
        <v>1</v>
      </c>
      <c r="N31" s="21">
        <f t="shared" si="3"/>
        <v>114</v>
      </c>
      <c r="P31" s="3">
        <f>19+8</f>
        <v>27</v>
      </c>
      <c r="R31" s="3">
        <v>1</v>
      </c>
    </row>
    <row r="32" spans="2:18" ht="12" customHeight="1">
      <c r="B32" s="14" t="s">
        <v>44</v>
      </c>
      <c r="C32" s="3">
        <f t="shared" si="2"/>
        <v>158</v>
      </c>
      <c r="D32" s="3">
        <v>155</v>
      </c>
      <c r="E32" s="3">
        <v>3</v>
      </c>
      <c r="H32" s="3">
        <v>11</v>
      </c>
      <c r="I32" s="3">
        <v>2</v>
      </c>
      <c r="K32" s="3">
        <v>7</v>
      </c>
      <c r="L32" s="3">
        <v>2</v>
      </c>
      <c r="N32" s="21">
        <f t="shared" si="3"/>
        <v>131</v>
      </c>
      <c r="P32" s="3">
        <v>27</v>
      </c>
      <c r="R32" s="3">
        <v>1</v>
      </c>
    </row>
    <row r="33" spans="2:16" ht="12" customHeight="1">
      <c r="B33" s="15" t="s">
        <v>176</v>
      </c>
      <c r="C33" s="3">
        <f t="shared" si="2"/>
        <v>8</v>
      </c>
      <c r="D33" s="3">
        <v>5</v>
      </c>
      <c r="E33" s="3">
        <v>3</v>
      </c>
      <c r="K33" s="3">
        <v>2</v>
      </c>
      <c r="N33" s="21">
        <f t="shared" si="3"/>
        <v>4</v>
      </c>
      <c r="P33" s="3">
        <v>4</v>
      </c>
    </row>
    <row r="34" spans="2:18" ht="12" customHeight="1">
      <c r="B34" s="15" t="s">
        <v>25</v>
      </c>
      <c r="C34" s="3">
        <f t="shared" si="2"/>
        <v>91</v>
      </c>
      <c r="D34" s="3">
        <v>33</v>
      </c>
      <c r="E34" s="3">
        <v>58</v>
      </c>
      <c r="G34" s="3">
        <v>1</v>
      </c>
      <c r="H34" s="3">
        <v>1</v>
      </c>
      <c r="I34" s="3">
        <v>5</v>
      </c>
      <c r="K34" s="3">
        <v>9</v>
      </c>
      <c r="N34" s="21">
        <f t="shared" si="3"/>
        <v>73</v>
      </c>
      <c r="P34" s="3">
        <f>7+11</f>
        <v>18</v>
      </c>
      <c r="R34" s="3">
        <v>4</v>
      </c>
    </row>
    <row r="35" spans="2:16" ht="12" customHeight="1">
      <c r="B35" s="14" t="s">
        <v>177</v>
      </c>
      <c r="C35" s="3">
        <f t="shared" si="2"/>
        <v>9</v>
      </c>
      <c r="D35" s="3">
        <v>3</v>
      </c>
      <c r="E35" s="3">
        <v>6</v>
      </c>
      <c r="I35" s="3">
        <v>2</v>
      </c>
      <c r="K35" s="3">
        <v>2</v>
      </c>
      <c r="N35" s="21">
        <f t="shared" si="3"/>
        <v>7</v>
      </c>
      <c r="P35" s="3">
        <v>2</v>
      </c>
    </row>
    <row r="36" spans="2:14" ht="12" customHeight="1">
      <c r="B36" s="15" t="s">
        <v>178</v>
      </c>
      <c r="C36" s="3">
        <f t="shared" si="2"/>
        <v>2</v>
      </c>
      <c r="D36" s="3">
        <v>0</v>
      </c>
      <c r="E36" s="3">
        <v>2</v>
      </c>
      <c r="N36" s="21">
        <f>(C36-P36)</f>
        <v>2</v>
      </c>
    </row>
    <row r="37" spans="2:16" ht="12" customHeight="1">
      <c r="B37" s="15" t="s">
        <v>136</v>
      </c>
      <c r="C37" s="3">
        <f t="shared" si="2"/>
        <v>23</v>
      </c>
      <c r="D37" s="3">
        <v>8</v>
      </c>
      <c r="E37" s="3">
        <v>15</v>
      </c>
      <c r="K37" s="3">
        <v>1</v>
      </c>
      <c r="N37" s="21">
        <f>(C37-P37)</f>
        <v>22</v>
      </c>
      <c r="P37" s="3">
        <v>1</v>
      </c>
    </row>
    <row r="38" spans="2:14" ht="12.75">
      <c r="B38" s="3" t="s">
        <v>179</v>
      </c>
      <c r="C38" s="3">
        <f t="shared" si="2"/>
        <v>0</v>
      </c>
      <c r="D38" s="3">
        <v>0</v>
      </c>
      <c r="E38" s="3">
        <v>0</v>
      </c>
      <c r="N38" s="21">
        <f>(C38-P38)</f>
        <v>0</v>
      </c>
    </row>
    <row r="40" spans="1:18" ht="12.75">
      <c r="A40" s="9" t="s">
        <v>4</v>
      </c>
      <c r="C40" s="3">
        <f>SUM(C8:C38)</f>
        <v>3584</v>
      </c>
      <c r="D40" s="3">
        <f>SUM(D8:D38)</f>
        <v>1882</v>
      </c>
      <c r="E40" s="3">
        <f>SUM(E8:E38)</f>
        <v>1702</v>
      </c>
      <c r="G40" s="3">
        <f aca="true" t="shared" si="4" ref="G40:L40">SUM(G8:G38)</f>
        <v>4</v>
      </c>
      <c r="H40" s="3">
        <f t="shared" si="4"/>
        <v>54</v>
      </c>
      <c r="I40" s="3">
        <f t="shared" si="4"/>
        <v>41</v>
      </c>
      <c r="J40" s="3">
        <f t="shared" si="4"/>
        <v>1</v>
      </c>
      <c r="K40" s="3">
        <f t="shared" si="4"/>
        <v>115</v>
      </c>
      <c r="L40" s="3">
        <f t="shared" si="4"/>
        <v>31</v>
      </c>
      <c r="N40" s="21">
        <f>SUM(N8:N38)</f>
        <v>2813</v>
      </c>
      <c r="P40" s="3">
        <f>SUM(P8:P38)</f>
        <v>771</v>
      </c>
      <c r="R40" s="3">
        <f>SUM(R8:R38)</f>
        <v>59</v>
      </c>
    </row>
    <row r="41" ht="12.75">
      <c r="K41" s="3" t="s">
        <v>233</v>
      </c>
    </row>
    <row r="44" ht="12.75">
      <c r="A44" s="16"/>
    </row>
    <row r="46" spans="1:19" ht="12.75">
      <c r="A46" s="2" t="s">
        <v>237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7"/>
      <c r="O46" s="2"/>
      <c r="P46" s="2"/>
      <c r="Q46" s="2"/>
      <c r="R46" s="2"/>
      <c r="S46" s="2"/>
    </row>
    <row r="48" spans="7:18" ht="12.75">
      <c r="G48" s="28" t="s">
        <v>1</v>
      </c>
      <c r="H48" s="28"/>
      <c r="I48" s="28"/>
      <c r="J48" s="28"/>
      <c r="K48" s="28"/>
      <c r="L48" s="28"/>
      <c r="P48" s="5" t="s">
        <v>2</v>
      </c>
      <c r="R48" s="5" t="s">
        <v>3</v>
      </c>
    </row>
    <row r="49" spans="1:18" ht="12.75">
      <c r="A49" s="4" t="s">
        <v>27</v>
      </c>
      <c r="C49" s="7" t="s">
        <v>4</v>
      </c>
      <c r="D49" s="7" t="s">
        <v>5</v>
      </c>
      <c r="E49" s="7" t="s">
        <v>6</v>
      </c>
      <c r="F49" s="6"/>
      <c r="G49" s="7" t="s">
        <v>7</v>
      </c>
      <c r="H49" s="7" t="s">
        <v>8</v>
      </c>
      <c r="I49" s="7" t="s">
        <v>9</v>
      </c>
      <c r="J49" s="7">
        <v>5</v>
      </c>
      <c r="K49" s="7">
        <v>6</v>
      </c>
      <c r="L49" s="7">
        <v>7</v>
      </c>
      <c r="M49" s="6"/>
      <c r="N49" s="25" t="s">
        <v>10</v>
      </c>
      <c r="O49" s="6"/>
      <c r="P49" s="8" t="s">
        <v>11</v>
      </c>
      <c r="Q49" s="6"/>
      <c r="R49" s="8" t="s">
        <v>12</v>
      </c>
    </row>
    <row r="50" spans="2:18" ht="12.75">
      <c r="B50" s="14" t="s">
        <v>158</v>
      </c>
      <c r="C50" s="3">
        <f aca="true" t="shared" si="5" ref="C50:C61">D50+E50</f>
        <v>12</v>
      </c>
      <c r="D50" s="3">
        <v>6</v>
      </c>
      <c r="E50" s="3">
        <v>6</v>
      </c>
      <c r="N50" s="21">
        <f aca="true" t="shared" si="6" ref="N50:N61">(C50-P50)</f>
        <v>3</v>
      </c>
      <c r="P50" s="3">
        <v>9</v>
      </c>
      <c r="R50" s="3">
        <v>8</v>
      </c>
    </row>
    <row r="51" spans="2:16" ht="12.75">
      <c r="B51" s="14" t="s">
        <v>28</v>
      </c>
      <c r="C51" s="3">
        <f t="shared" si="5"/>
        <v>18</v>
      </c>
      <c r="D51" s="3">
        <v>10</v>
      </c>
      <c r="E51" s="3">
        <v>8</v>
      </c>
      <c r="N51" s="21">
        <f t="shared" si="6"/>
        <v>16</v>
      </c>
      <c r="P51" s="3">
        <v>2</v>
      </c>
    </row>
    <row r="52" spans="2:18" ht="12.75">
      <c r="B52" s="14" t="s">
        <v>29</v>
      </c>
      <c r="C52" s="3">
        <f t="shared" si="5"/>
        <v>403</v>
      </c>
      <c r="D52" s="3">
        <v>202</v>
      </c>
      <c r="E52" s="3">
        <v>201</v>
      </c>
      <c r="H52" s="3">
        <v>12</v>
      </c>
      <c r="I52" s="3">
        <v>14</v>
      </c>
      <c r="K52" s="3">
        <v>7</v>
      </c>
      <c r="L52" s="3">
        <v>1</v>
      </c>
      <c r="N52" s="21">
        <f t="shared" si="6"/>
        <v>276</v>
      </c>
      <c r="P52" s="3">
        <f>60+67</f>
        <v>127</v>
      </c>
      <c r="R52" s="3">
        <f>29+47</f>
        <v>76</v>
      </c>
    </row>
    <row r="53" spans="2:18" ht="12.75">
      <c r="B53" s="14" t="s">
        <v>165</v>
      </c>
      <c r="C53" s="3">
        <f>D53+E53</f>
        <v>23</v>
      </c>
      <c r="D53" s="3">
        <v>17</v>
      </c>
      <c r="E53" s="3">
        <v>6</v>
      </c>
      <c r="N53" s="21">
        <f>(C53-P53)</f>
        <v>14</v>
      </c>
      <c r="P53" s="3">
        <v>9</v>
      </c>
      <c r="R53" s="3">
        <v>2</v>
      </c>
    </row>
    <row r="54" spans="2:18" ht="12.75">
      <c r="B54" s="14" t="s">
        <v>30</v>
      </c>
      <c r="C54" s="3">
        <f t="shared" si="5"/>
        <v>360</v>
      </c>
      <c r="D54" s="3">
        <v>253</v>
      </c>
      <c r="E54" s="3">
        <v>107</v>
      </c>
      <c r="G54" s="3">
        <v>1</v>
      </c>
      <c r="H54" s="3">
        <v>6</v>
      </c>
      <c r="I54" s="3">
        <v>9</v>
      </c>
      <c r="K54" s="3">
        <v>3</v>
      </c>
      <c r="L54" s="3">
        <v>2</v>
      </c>
      <c r="N54" s="21">
        <f t="shared" si="6"/>
        <v>175</v>
      </c>
      <c r="P54" s="3">
        <f>119+66</f>
        <v>185</v>
      </c>
      <c r="R54" s="3">
        <f>83+60</f>
        <v>143</v>
      </c>
    </row>
    <row r="55" spans="2:18" ht="12.75">
      <c r="B55" s="14" t="s">
        <v>137</v>
      </c>
      <c r="C55" s="3">
        <f t="shared" si="5"/>
        <v>35</v>
      </c>
      <c r="D55" s="3">
        <v>30</v>
      </c>
      <c r="E55" s="3">
        <v>5</v>
      </c>
      <c r="I55" s="3">
        <v>2</v>
      </c>
      <c r="K55" s="3">
        <v>2</v>
      </c>
      <c r="N55" s="21">
        <f t="shared" si="6"/>
        <v>22</v>
      </c>
      <c r="P55" s="3">
        <v>13</v>
      </c>
      <c r="R55" s="3">
        <v>7</v>
      </c>
    </row>
    <row r="56" spans="2:18" ht="12.75">
      <c r="B56" s="14" t="s">
        <v>31</v>
      </c>
      <c r="C56" s="3">
        <f t="shared" si="5"/>
        <v>206</v>
      </c>
      <c r="D56" s="3">
        <v>136</v>
      </c>
      <c r="E56" s="3">
        <v>70</v>
      </c>
      <c r="G56" s="3">
        <v>1</v>
      </c>
      <c r="H56" s="3">
        <v>3</v>
      </c>
      <c r="I56" s="3">
        <v>8</v>
      </c>
      <c r="K56" s="3">
        <v>6</v>
      </c>
      <c r="N56" s="21">
        <f t="shared" si="6"/>
        <v>162</v>
      </c>
      <c r="P56" s="3">
        <f>27+17</f>
        <v>44</v>
      </c>
      <c r="R56" s="3">
        <v>14</v>
      </c>
    </row>
    <row r="57" spans="2:18" ht="12.75">
      <c r="B57" s="14" t="s">
        <v>138</v>
      </c>
      <c r="C57" s="3">
        <f t="shared" si="5"/>
        <v>177</v>
      </c>
      <c r="D57" s="3">
        <v>166</v>
      </c>
      <c r="E57" s="3">
        <v>11</v>
      </c>
      <c r="H57" s="3">
        <v>4</v>
      </c>
      <c r="I57" s="3">
        <v>10</v>
      </c>
      <c r="K57" s="3">
        <v>3</v>
      </c>
      <c r="L57" s="3">
        <v>1</v>
      </c>
      <c r="N57" s="21">
        <f t="shared" si="6"/>
        <v>146</v>
      </c>
      <c r="P57" s="3">
        <f>29+2</f>
        <v>31</v>
      </c>
      <c r="R57" s="3">
        <v>11</v>
      </c>
    </row>
    <row r="58" spans="2:18" ht="12.75">
      <c r="B58" s="14" t="s">
        <v>32</v>
      </c>
      <c r="C58" s="3">
        <f t="shared" si="5"/>
        <v>304</v>
      </c>
      <c r="D58" s="3">
        <v>124</v>
      </c>
      <c r="E58" s="3">
        <v>180</v>
      </c>
      <c r="H58" s="3">
        <v>5</v>
      </c>
      <c r="I58" s="3">
        <v>9</v>
      </c>
      <c r="K58" s="3">
        <v>9</v>
      </c>
      <c r="L58" s="3">
        <v>1</v>
      </c>
      <c r="N58" s="21">
        <f t="shared" si="6"/>
        <v>200</v>
      </c>
      <c r="P58" s="3">
        <f>36+68</f>
        <v>104</v>
      </c>
      <c r="R58" s="3">
        <v>28</v>
      </c>
    </row>
    <row r="59" spans="2:18" ht="12.75">
      <c r="B59" s="14" t="s">
        <v>139</v>
      </c>
      <c r="C59" s="3">
        <f t="shared" si="5"/>
        <v>10</v>
      </c>
      <c r="D59" s="3">
        <v>7</v>
      </c>
      <c r="E59" s="3">
        <v>3</v>
      </c>
      <c r="K59" s="3">
        <v>1</v>
      </c>
      <c r="N59" s="21">
        <f t="shared" si="6"/>
        <v>6</v>
      </c>
      <c r="P59" s="3">
        <v>4</v>
      </c>
      <c r="R59" s="3">
        <v>1</v>
      </c>
    </row>
    <row r="60" spans="2:18" ht="12.75">
      <c r="B60" s="14" t="s">
        <v>33</v>
      </c>
      <c r="C60" s="3">
        <f t="shared" si="5"/>
        <v>1537</v>
      </c>
      <c r="D60" s="3">
        <v>994</v>
      </c>
      <c r="E60" s="3">
        <v>543</v>
      </c>
      <c r="G60" s="3">
        <v>3</v>
      </c>
      <c r="H60" s="3">
        <f>40+12</f>
        <v>52</v>
      </c>
      <c r="I60" s="3">
        <f>38+14</f>
        <v>52</v>
      </c>
      <c r="K60" s="3">
        <f>34+27</f>
        <v>61</v>
      </c>
      <c r="L60" s="3">
        <f>12+9</f>
        <v>21</v>
      </c>
      <c r="N60" s="21">
        <f t="shared" si="6"/>
        <v>1009</v>
      </c>
      <c r="P60" s="3">
        <f>312+216</f>
        <v>528</v>
      </c>
      <c r="R60" s="3">
        <f>113+104</f>
        <v>217</v>
      </c>
    </row>
    <row r="61" spans="2:18" ht="12.75">
      <c r="B61" s="3" t="s">
        <v>225</v>
      </c>
      <c r="C61" s="3">
        <f t="shared" si="5"/>
        <v>127</v>
      </c>
      <c r="D61" s="3">
        <v>92</v>
      </c>
      <c r="E61" s="3">
        <v>35</v>
      </c>
      <c r="H61" s="3">
        <v>3</v>
      </c>
      <c r="I61" s="3">
        <v>3</v>
      </c>
      <c r="K61" s="3">
        <v>5</v>
      </c>
      <c r="L61" s="3">
        <v>1</v>
      </c>
      <c r="N61" s="21">
        <f t="shared" si="6"/>
        <v>94</v>
      </c>
      <c r="P61" s="3">
        <v>33</v>
      </c>
      <c r="R61" s="3">
        <v>14</v>
      </c>
    </row>
    <row r="63" spans="1:18" ht="12.75">
      <c r="A63" s="9" t="s">
        <v>4</v>
      </c>
      <c r="C63" s="3">
        <f>SUM(C50:C61)</f>
        <v>3212</v>
      </c>
      <c r="D63" s="3">
        <f>SUM(D50:D61)</f>
        <v>2037</v>
      </c>
      <c r="E63" s="3">
        <f>SUM(E50:E61)</f>
        <v>1175</v>
      </c>
      <c r="F63" s="3">
        <f>SUM(F49:F61)</f>
        <v>0</v>
      </c>
      <c r="G63" s="3">
        <f aca="true" t="shared" si="7" ref="G63:L63">SUM(G50:G61)</f>
        <v>5</v>
      </c>
      <c r="H63" s="3">
        <f t="shared" si="7"/>
        <v>85</v>
      </c>
      <c r="I63" s="3">
        <f t="shared" si="7"/>
        <v>107</v>
      </c>
      <c r="J63" s="3">
        <f t="shared" si="7"/>
        <v>0</v>
      </c>
      <c r="K63" s="3">
        <f t="shared" si="7"/>
        <v>97</v>
      </c>
      <c r="L63" s="3">
        <f t="shared" si="7"/>
        <v>27</v>
      </c>
      <c r="M63" s="3">
        <f>SUM(M49:M61)</f>
        <v>0</v>
      </c>
      <c r="N63" s="21">
        <f>SUM(N50:N61)</f>
        <v>2123</v>
      </c>
      <c r="P63" s="3">
        <f>SUM(P50:P61)</f>
        <v>1089</v>
      </c>
      <c r="R63" s="3">
        <f>SUM(R50:R61)</f>
        <v>521</v>
      </c>
    </row>
    <row r="67" spans="7:18" ht="12.75">
      <c r="G67" s="28" t="s">
        <v>1</v>
      </c>
      <c r="H67" s="28"/>
      <c r="I67" s="28"/>
      <c r="J67" s="28"/>
      <c r="K67" s="28"/>
      <c r="L67" s="28"/>
      <c r="P67" s="5" t="s">
        <v>2</v>
      </c>
      <c r="R67" s="5" t="s">
        <v>3</v>
      </c>
    </row>
    <row r="68" spans="1:18" ht="12.75">
      <c r="A68" s="4" t="s">
        <v>34</v>
      </c>
      <c r="B68" s="6"/>
      <c r="C68" s="7" t="s">
        <v>4</v>
      </c>
      <c r="D68" s="7" t="s">
        <v>5</v>
      </c>
      <c r="E68" s="7" t="s">
        <v>6</v>
      </c>
      <c r="F68" s="6"/>
      <c r="G68" s="7" t="s">
        <v>7</v>
      </c>
      <c r="H68" s="7" t="s">
        <v>8</v>
      </c>
      <c r="I68" s="7" t="s">
        <v>9</v>
      </c>
      <c r="J68" s="7">
        <v>5</v>
      </c>
      <c r="K68" s="7">
        <v>6</v>
      </c>
      <c r="L68" s="7">
        <v>7</v>
      </c>
      <c r="M68" s="6"/>
      <c r="N68" s="25" t="s">
        <v>10</v>
      </c>
      <c r="O68" s="6"/>
      <c r="P68" s="8" t="s">
        <v>11</v>
      </c>
      <c r="Q68" s="6"/>
      <c r="R68" s="8" t="s">
        <v>12</v>
      </c>
    </row>
    <row r="69" spans="2:18" ht="12" customHeight="1">
      <c r="B69" s="14" t="s">
        <v>159</v>
      </c>
      <c r="C69" s="3">
        <f aca="true" t="shared" si="8" ref="C69:C88">D69+E69</f>
        <v>14</v>
      </c>
      <c r="D69" s="3">
        <v>6</v>
      </c>
      <c r="E69" s="3">
        <v>8</v>
      </c>
      <c r="N69" s="21">
        <f aca="true" t="shared" si="9" ref="N69:N88">(C69-P69)</f>
        <v>9</v>
      </c>
      <c r="P69" s="3">
        <v>5</v>
      </c>
      <c r="R69" s="3">
        <v>4</v>
      </c>
    </row>
    <row r="70" spans="2:18" ht="12" customHeight="1">
      <c r="B70" s="14" t="s">
        <v>35</v>
      </c>
      <c r="C70" s="3">
        <f t="shared" si="8"/>
        <v>103</v>
      </c>
      <c r="D70" s="3">
        <v>33</v>
      </c>
      <c r="E70" s="3">
        <v>70</v>
      </c>
      <c r="G70" s="3">
        <v>1</v>
      </c>
      <c r="H70" s="3">
        <v>4</v>
      </c>
      <c r="I70" s="3">
        <v>5</v>
      </c>
      <c r="K70" s="3">
        <v>4</v>
      </c>
      <c r="L70" s="3">
        <v>2</v>
      </c>
      <c r="N70" s="21">
        <f t="shared" si="9"/>
        <v>73</v>
      </c>
      <c r="P70" s="3">
        <f>10+20</f>
        <v>30</v>
      </c>
      <c r="R70" s="3">
        <v>8</v>
      </c>
    </row>
    <row r="71" spans="2:18" ht="12" customHeight="1">
      <c r="B71" s="14" t="s">
        <v>140</v>
      </c>
      <c r="C71" s="3">
        <f t="shared" si="8"/>
        <v>306</v>
      </c>
      <c r="D71" s="3">
        <v>181</v>
      </c>
      <c r="E71" s="3">
        <v>125</v>
      </c>
      <c r="H71" s="3">
        <v>6</v>
      </c>
      <c r="I71" s="3">
        <v>14</v>
      </c>
      <c r="J71" s="3">
        <v>1</v>
      </c>
      <c r="K71" s="3">
        <v>19</v>
      </c>
      <c r="L71" s="3">
        <v>1</v>
      </c>
      <c r="N71" s="21">
        <f t="shared" si="9"/>
        <v>160</v>
      </c>
      <c r="P71" s="3">
        <f>74+72</f>
        <v>146</v>
      </c>
      <c r="R71" s="3">
        <v>45</v>
      </c>
    </row>
    <row r="72" spans="2:14" ht="12" customHeight="1">
      <c r="B72" s="14" t="s">
        <v>36</v>
      </c>
      <c r="C72" s="3">
        <f t="shared" si="8"/>
        <v>1</v>
      </c>
      <c r="D72" s="3">
        <v>1</v>
      </c>
      <c r="E72" s="3">
        <v>0</v>
      </c>
      <c r="N72" s="21">
        <f t="shared" si="9"/>
        <v>1</v>
      </c>
    </row>
    <row r="73" spans="2:18" ht="12" customHeight="1">
      <c r="B73" s="14" t="s">
        <v>141</v>
      </c>
      <c r="C73" s="3">
        <f t="shared" si="8"/>
        <v>42</v>
      </c>
      <c r="D73" s="3">
        <v>15</v>
      </c>
      <c r="E73" s="3">
        <v>27</v>
      </c>
      <c r="I73" s="3">
        <v>2</v>
      </c>
      <c r="K73" s="3">
        <v>1</v>
      </c>
      <c r="N73" s="21">
        <f t="shared" si="9"/>
        <v>31</v>
      </c>
      <c r="P73" s="3">
        <v>11</v>
      </c>
      <c r="R73" s="3">
        <v>1</v>
      </c>
    </row>
    <row r="74" spans="2:14" ht="12" customHeight="1">
      <c r="B74" s="14" t="s">
        <v>142</v>
      </c>
      <c r="C74" s="3">
        <f t="shared" si="8"/>
        <v>1</v>
      </c>
      <c r="D74" s="3">
        <v>0</v>
      </c>
      <c r="E74" s="3">
        <v>1</v>
      </c>
      <c r="K74" s="3">
        <v>1</v>
      </c>
      <c r="N74" s="21">
        <f t="shared" si="9"/>
        <v>1</v>
      </c>
    </row>
    <row r="75" spans="2:18" ht="12" customHeight="1">
      <c r="B75" s="14" t="s">
        <v>143</v>
      </c>
      <c r="C75" s="3">
        <f t="shared" si="8"/>
        <v>81</v>
      </c>
      <c r="D75" s="3">
        <v>60</v>
      </c>
      <c r="E75" s="3">
        <v>21</v>
      </c>
      <c r="H75" s="3">
        <v>4</v>
      </c>
      <c r="I75" s="3">
        <v>1</v>
      </c>
      <c r="K75" s="3">
        <v>6</v>
      </c>
      <c r="L75" s="3">
        <v>1</v>
      </c>
      <c r="N75" s="21">
        <f t="shared" si="9"/>
        <v>47</v>
      </c>
      <c r="P75" s="3">
        <f>24+10</f>
        <v>34</v>
      </c>
      <c r="R75" s="3">
        <v>6</v>
      </c>
    </row>
    <row r="76" spans="2:19" ht="12" customHeight="1">
      <c r="B76" s="14" t="s">
        <v>239</v>
      </c>
      <c r="C76" s="17">
        <f t="shared" si="8"/>
        <v>10</v>
      </c>
      <c r="D76" s="17">
        <v>9</v>
      </c>
      <c r="E76" s="17">
        <v>1</v>
      </c>
      <c r="F76" s="17"/>
      <c r="G76" s="17"/>
      <c r="H76" s="17"/>
      <c r="I76" s="17"/>
      <c r="J76" s="17"/>
      <c r="K76" s="17"/>
      <c r="L76" s="17"/>
      <c r="M76" s="17"/>
      <c r="N76" s="22">
        <f t="shared" si="9"/>
        <v>9</v>
      </c>
      <c r="O76" s="17"/>
      <c r="P76" s="17">
        <v>1</v>
      </c>
      <c r="Q76" s="17"/>
      <c r="R76" s="17"/>
      <c r="S76" s="17"/>
    </row>
    <row r="77" spans="2:19" ht="12" customHeight="1">
      <c r="B77" s="14" t="s">
        <v>38</v>
      </c>
      <c r="C77" s="17">
        <f t="shared" si="8"/>
        <v>244</v>
      </c>
      <c r="D77" s="17">
        <v>74</v>
      </c>
      <c r="E77" s="17">
        <v>170</v>
      </c>
      <c r="F77" s="17"/>
      <c r="G77" s="17"/>
      <c r="H77" s="17">
        <v>2</v>
      </c>
      <c r="I77" s="17">
        <v>13</v>
      </c>
      <c r="J77" s="17"/>
      <c r="K77" s="17">
        <v>15</v>
      </c>
      <c r="L77" s="17">
        <v>2</v>
      </c>
      <c r="M77" s="17"/>
      <c r="N77" s="22">
        <f t="shared" si="9"/>
        <v>181</v>
      </c>
      <c r="O77" s="17"/>
      <c r="P77" s="17">
        <f>19+44</f>
        <v>63</v>
      </c>
      <c r="Q77" s="17"/>
      <c r="R77" s="17">
        <v>5</v>
      </c>
      <c r="S77" s="17"/>
    </row>
    <row r="78" spans="2:19" ht="12" customHeight="1">
      <c r="B78" s="17" t="s">
        <v>226</v>
      </c>
      <c r="C78" s="17">
        <f t="shared" si="8"/>
        <v>52</v>
      </c>
      <c r="D78" s="17">
        <v>38</v>
      </c>
      <c r="E78" s="17">
        <v>14</v>
      </c>
      <c r="F78" s="17"/>
      <c r="G78" s="17"/>
      <c r="H78" s="17">
        <v>1</v>
      </c>
      <c r="I78" s="17"/>
      <c r="J78" s="17"/>
      <c r="K78" s="17">
        <v>3</v>
      </c>
      <c r="L78" s="17">
        <v>1</v>
      </c>
      <c r="M78" s="17"/>
      <c r="N78" s="22">
        <f t="shared" si="9"/>
        <v>39</v>
      </c>
      <c r="O78" s="17"/>
      <c r="P78" s="17">
        <v>13</v>
      </c>
      <c r="Q78" s="17"/>
      <c r="R78" s="17">
        <v>1</v>
      </c>
      <c r="S78" s="17"/>
    </row>
    <row r="79" spans="2:19" ht="12" customHeight="1">
      <c r="B79" s="14" t="s">
        <v>166</v>
      </c>
      <c r="C79" s="17">
        <f>D79+E79</f>
        <v>124</v>
      </c>
      <c r="D79" s="17">
        <v>59</v>
      </c>
      <c r="E79" s="17">
        <v>65</v>
      </c>
      <c r="F79" s="17"/>
      <c r="G79" s="17"/>
      <c r="H79" s="17">
        <v>2</v>
      </c>
      <c r="I79" s="17">
        <v>5</v>
      </c>
      <c r="J79" s="17"/>
      <c r="K79" s="17">
        <v>7</v>
      </c>
      <c r="L79" s="17">
        <v>2</v>
      </c>
      <c r="M79" s="17"/>
      <c r="N79" s="22">
        <f>(C79-P79)</f>
        <v>105</v>
      </c>
      <c r="O79" s="17"/>
      <c r="P79" s="17">
        <f>10+9</f>
        <v>19</v>
      </c>
      <c r="Q79" s="17"/>
      <c r="R79" s="17">
        <v>1</v>
      </c>
      <c r="S79" s="17"/>
    </row>
    <row r="80" spans="2:19" ht="12" customHeight="1">
      <c r="B80" s="14" t="s">
        <v>39</v>
      </c>
      <c r="C80" s="17">
        <f t="shared" si="8"/>
        <v>162</v>
      </c>
      <c r="D80" s="17">
        <v>16</v>
      </c>
      <c r="E80" s="17">
        <v>146</v>
      </c>
      <c r="F80" s="17"/>
      <c r="G80" s="17"/>
      <c r="H80" s="17">
        <v>4</v>
      </c>
      <c r="I80" s="17">
        <v>1</v>
      </c>
      <c r="J80" s="17"/>
      <c r="K80" s="17">
        <v>2</v>
      </c>
      <c r="L80" s="17">
        <v>1</v>
      </c>
      <c r="M80" s="17"/>
      <c r="N80" s="22">
        <f t="shared" si="9"/>
        <v>97</v>
      </c>
      <c r="O80" s="17"/>
      <c r="P80" s="17">
        <f>9+56</f>
        <v>65</v>
      </c>
      <c r="Q80" s="17"/>
      <c r="R80" s="17">
        <v>21</v>
      </c>
      <c r="S80" s="17"/>
    </row>
    <row r="81" spans="2:19" ht="12" customHeight="1">
      <c r="B81" s="14" t="s">
        <v>40</v>
      </c>
      <c r="C81" s="17">
        <f t="shared" si="8"/>
        <v>145</v>
      </c>
      <c r="D81" s="17">
        <v>89</v>
      </c>
      <c r="E81" s="17">
        <v>56</v>
      </c>
      <c r="F81" s="17"/>
      <c r="G81" s="17"/>
      <c r="H81" s="17"/>
      <c r="I81" s="17">
        <v>3</v>
      </c>
      <c r="J81" s="17"/>
      <c r="K81" s="17">
        <v>4</v>
      </c>
      <c r="L81" s="17"/>
      <c r="M81" s="17"/>
      <c r="N81" s="22">
        <f t="shared" si="9"/>
        <v>80</v>
      </c>
      <c r="O81" s="17"/>
      <c r="P81" s="17">
        <f>35+30</f>
        <v>65</v>
      </c>
      <c r="Q81" s="17"/>
      <c r="R81" s="17">
        <v>20</v>
      </c>
      <c r="S81" s="17"/>
    </row>
    <row r="82" spans="2:19" ht="12" customHeight="1">
      <c r="B82" s="14" t="s">
        <v>41</v>
      </c>
      <c r="C82" s="17">
        <f t="shared" si="8"/>
        <v>261</v>
      </c>
      <c r="D82" s="17">
        <v>158</v>
      </c>
      <c r="E82" s="17">
        <v>103</v>
      </c>
      <c r="F82" s="17"/>
      <c r="G82" s="17"/>
      <c r="H82" s="17">
        <v>5</v>
      </c>
      <c r="I82" s="17">
        <v>5</v>
      </c>
      <c r="J82" s="17"/>
      <c r="K82" s="17">
        <v>23</v>
      </c>
      <c r="L82" s="17">
        <v>10</v>
      </c>
      <c r="M82" s="17"/>
      <c r="N82" s="22">
        <f t="shared" si="9"/>
        <v>141</v>
      </c>
      <c r="O82" s="17"/>
      <c r="P82" s="17">
        <f>74+46</f>
        <v>120</v>
      </c>
      <c r="Q82" s="17"/>
      <c r="R82" s="17">
        <v>30</v>
      </c>
      <c r="S82" s="17"/>
    </row>
    <row r="83" spans="2:19" ht="12" customHeight="1">
      <c r="B83" s="14" t="s">
        <v>180</v>
      </c>
      <c r="C83" s="17">
        <f t="shared" si="8"/>
        <v>5</v>
      </c>
      <c r="D83" s="17">
        <v>4</v>
      </c>
      <c r="E83" s="17">
        <v>1</v>
      </c>
      <c r="F83" s="17"/>
      <c r="G83" s="17"/>
      <c r="H83" s="17"/>
      <c r="I83" s="17"/>
      <c r="J83" s="17"/>
      <c r="K83" s="17">
        <v>1</v>
      </c>
      <c r="L83" s="17"/>
      <c r="M83" s="17"/>
      <c r="N83" s="22">
        <f t="shared" si="9"/>
        <v>4</v>
      </c>
      <c r="O83" s="17"/>
      <c r="P83" s="17">
        <v>1</v>
      </c>
      <c r="Q83" s="17"/>
      <c r="R83" s="17"/>
      <c r="S83" s="17"/>
    </row>
    <row r="84" spans="2:19" ht="12" customHeight="1">
      <c r="B84" s="17" t="s">
        <v>227</v>
      </c>
      <c r="C84" s="17">
        <f t="shared" si="8"/>
        <v>132</v>
      </c>
      <c r="D84" s="17">
        <v>46</v>
      </c>
      <c r="E84" s="17">
        <v>86</v>
      </c>
      <c r="F84" s="17"/>
      <c r="G84" s="17">
        <v>1</v>
      </c>
      <c r="H84" s="17">
        <v>4</v>
      </c>
      <c r="I84" s="17">
        <v>5</v>
      </c>
      <c r="J84" s="17"/>
      <c r="K84" s="17">
        <v>9</v>
      </c>
      <c r="L84" s="17">
        <v>5</v>
      </c>
      <c r="M84" s="17"/>
      <c r="N84" s="22">
        <f t="shared" si="9"/>
        <v>89</v>
      </c>
      <c r="O84" s="17"/>
      <c r="P84" s="17">
        <f>13+30</f>
        <v>43</v>
      </c>
      <c r="Q84" s="17"/>
      <c r="R84" s="17">
        <v>3</v>
      </c>
      <c r="S84" s="17"/>
    </row>
    <row r="85" spans="2:19" ht="12" customHeight="1">
      <c r="B85" s="17" t="s">
        <v>240</v>
      </c>
      <c r="C85" s="17">
        <f t="shared" si="8"/>
        <v>23</v>
      </c>
      <c r="D85" s="17">
        <v>17</v>
      </c>
      <c r="E85" s="17">
        <v>6</v>
      </c>
      <c r="F85" s="17"/>
      <c r="G85" s="17"/>
      <c r="H85" s="17"/>
      <c r="I85" s="17">
        <v>3</v>
      </c>
      <c r="J85" s="17"/>
      <c r="K85" s="17">
        <v>1</v>
      </c>
      <c r="L85" s="17">
        <v>1</v>
      </c>
      <c r="M85" s="17"/>
      <c r="N85" s="22">
        <f t="shared" si="9"/>
        <v>11</v>
      </c>
      <c r="O85" s="17"/>
      <c r="P85" s="17">
        <v>12</v>
      </c>
      <c r="Q85" s="17"/>
      <c r="R85" s="17"/>
      <c r="S85" s="17"/>
    </row>
    <row r="86" spans="2:19" ht="12" customHeight="1">
      <c r="B86" s="17" t="s">
        <v>228</v>
      </c>
      <c r="C86" s="17">
        <f t="shared" si="8"/>
        <v>18</v>
      </c>
      <c r="D86" s="17">
        <v>3</v>
      </c>
      <c r="E86" s="17">
        <v>15</v>
      </c>
      <c r="F86" s="17"/>
      <c r="G86" s="17"/>
      <c r="H86" s="17"/>
      <c r="I86" s="17"/>
      <c r="J86" s="17"/>
      <c r="K86" s="17">
        <v>2</v>
      </c>
      <c r="L86" s="17">
        <v>2</v>
      </c>
      <c r="M86" s="17"/>
      <c r="N86" s="22">
        <f t="shared" si="9"/>
        <v>17</v>
      </c>
      <c r="O86" s="17"/>
      <c r="P86" s="17">
        <v>1</v>
      </c>
      <c r="Q86" s="17"/>
      <c r="R86" s="17"/>
      <c r="S86" s="17"/>
    </row>
    <row r="87" spans="2:19" ht="12" customHeight="1">
      <c r="B87" s="17" t="s">
        <v>229</v>
      </c>
      <c r="C87" s="17">
        <f t="shared" si="8"/>
        <v>49</v>
      </c>
      <c r="D87" s="17">
        <v>4</v>
      </c>
      <c r="E87" s="17">
        <v>45</v>
      </c>
      <c r="F87" s="17"/>
      <c r="G87" s="17"/>
      <c r="H87" s="17">
        <v>1</v>
      </c>
      <c r="I87" s="17">
        <v>2</v>
      </c>
      <c r="J87" s="17"/>
      <c r="K87" s="17">
        <v>1</v>
      </c>
      <c r="L87" s="17"/>
      <c r="M87" s="17"/>
      <c r="N87" s="22">
        <f t="shared" si="9"/>
        <v>32</v>
      </c>
      <c r="O87" s="17"/>
      <c r="P87" s="17">
        <v>17</v>
      </c>
      <c r="Q87" s="17"/>
      <c r="R87" s="17">
        <v>3</v>
      </c>
      <c r="S87" s="17"/>
    </row>
    <row r="88" spans="2:19" ht="12.75">
      <c r="B88" s="17" t="s">
        <v>42</v>
      </c>
      <c r="C88" s="17">
        <f t="shared" si="8"/>
        <v>25</v>
      </c>
      <c r="D88" s="17">
        <v>15</v>
      </c>
      <c r="E88" s="17">
        <v>10</v>
      </c>
      <c r="F88" s="17"/>
      <c r="G88" s="17"/>
      <c r="H88" s="17"/>
      <c r="I88" s="17"/>
      <c r="J88" s="17"/>
      <c r="K88" s="17">
        <v>1</v>
      </c>
      <c r="L88" s="17"/>
      <c r="M88" s="17"/>
      <c r="N88" s="22">
        <f t="shared" si="9"/>
        <v>14</v>
      </c>
      <c r="O88" s="17"/>
      <c r="P88" s="17">
        <v>11</v>
      </c>
      <c r="Q88" s="17"/>
      <c r="R88" s="17"/>
      <c r="S88" s="17"/>
    </row>
    <row r="89" spans="2:19" ht="12.7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22"/>
      <c r="O89" s="17"/>
      <c r="P89" s="17"/>
      <c r="Q89" s="17"/>
      <c r="R89" s="17"/>
      <c r="S89" s="17"/>
    </row>
    <row r="90" spans="1:19" ht="12.75">
      <c r="A90" s="9" t="s">
        <v>4</v>
      </c>
      <c r="B90" s="17"/>
      <c r="C90" s="17">
        <f>SUM(C69:C89)</f>
        <v>1798</v>
      </c>
      <c r="D90" s="17">
        <f>SUM(D69:D88)</f>
        <v>828</v>
      </c>
      <c r="E90" s="17">
        <f>SUM(E69:E88)</f>
        <v>970</v>
      </c>
      <c r="F90" s="17"/>
      <c r="G90" s="17">
        <f aca="true" t="shared" si="10" ref="G90:L90">SUM(G69:G88)</f>
        <v>2</v>
      </c>
      <c r="H90" s="17">
        <f t="shared" si="10"/>
        <v>33</v>
      </c>
      <c r="I90" s="17">
        <f t="shared" si="10"/>
        <v>59</v>
      </c>
      <c r="J90" s="17">
        <f t="shared" si="10"/>
        <v>1</v>
      </c>
      <c r="K90" s="17">
        <f t="shared" si="10"/>
        <v>100</v>
      </c>
      <c r="L90" s="17">
        <f t="shared" si="10"/>
        <v>28</v>
      </c>
      <c r="M90" s="17"/>
      <c r="N90" s="22">
        <f>SUM(N69:N89)</f>
        <v>1141</v>
      </c>
      <c r="O90" s="17"/>
      <c r="P90" s="17">
        <f>SUM(P69:P88)</f>
        <v>657</v>
      </c>
      <c r="Q90" s="17"/>
      <c r="R90" s="17">
        <f>SUM(R69:R88)</f>
        <v>148</v>
      </c>
      <c r="S90" s="17"/>
    </row>
    <row r="94" spans="1:19" ht="12.75">
      <c r="A94" s="2"/>
      <c r="B94" s="2" t="s">
        <v>237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7"/>
      <c r="O94" s="2"/>
      <c r="P94" s="2"/>
      <c r="Q94" s="2"/>
      <c r="R94" s="2"/>
      <c r="S94" s="2"/>
    </row>
    <row r="96" spans="7:18" ht="12.75">
      <c r="G96" s="28" t="s">
        <v>1</v>
      </c>
      <c r="H96" s="28"/>
      <c r="I96" s="28"/>
      <c r="J96" s="28"/>
      <c r="K96" s="28"/>
      <c r="L96" s="28"/>
      <c r="P96" s="5" t="s">
        <v>2</v>
      </c>
      <c r="R96" s="5" t="s">
        <v>3</v>
      </c>
    </row>
    <row r="97" spans="1:18" ht="12.75">
      <c r="A97" s="4" t="s">
        <v>45</v>
      </c>
      <c r="B97" s="6"/>
      <c r="C97" s="7" t="s">
        <v>4</v>
      </c>
      <c r="D97" s="7" t="s">
        <v>5</v>
      </c>
      <c r="E97" s="7" t="s">
        <v>6</v>
      </c>
      <c r="F97" s="6"/>
      <c r="G97" s="7" t="s">
        <v>7</v>
      </c>
      <c r="H97" s="7" t="s">
        <v>8</v>
      </c>
      <c r="I97" s="7" t="s">
        <v>9</v>
      </c>
      <c r="J97" s="7">
        <v>5</v>
      </c>
      <c r="K97" s="7">
        <v>6</v>
      </c>
      <c r="L97" s="7">
        <v>7</v>
      </c>
      <c r="M97" s="6"/>
      <c r="N97" s="25" t="s">
        <v>10</v>
      </c>
      <c r="O97" s="6"/>
      <c r="P97" s="8" t="s">
        <v>11</v>
      </c>
      <c r="Q97" s="6"/>
      <c r="R97" s="8" t="s">
        <v>12</v>
      </c>
    </row>
    <row r="98" spans="2:18" ht="12" customHeight="1">
      <c r="B98" s="9" t="s">
        <v>160</v>
      </c>
      <c r="C98" s="3">
        <f aca="true" t="shared" si="11" ref="C98:C109">D98+E98</f>
        <v>65</v>
      </c>
      <c r="D98" s="3">
        <v>50</v>
      </c>
      <c r="E98" s="3">
        <v>15</v>
      </c>
      <c r="H98" s="3">
        <v>3</v>
      </c>
      <c r="I98" s="3">
        <v>3</v>
      </c>
      <c r="N98" s="21">
        <f aca="true" t="shared" si="12" ref="N98:N109">(C98-P98)</f>
        <v>11</v>
      </c>
      <c r="P98" s="3">
        <f>40+14</f>
        <v>54</v>
      </c>
      <c r="R98" s="3">
        <f>19+10</f>
        <v>29</v>
      </c>
    </row>
    <row r="99" spans="2:18" ht="12" customHeight="1">
      <c r="B99" s="9" t="s">
        <v>95</v>
      </c>
      <c r="C99" s="3">
        <f t="shared" si="11"/>
        <v>460</v>
      </c>
      <c r="D99" s="3">
        <v>386</v>
      </c>
      <c r="E99" s="3">
        <v>74</v>
      </c>
      <c r="G99" s="3">
        <v>2</v>
      </c>
      <c r="H99" s="3">
        <v>3</v>
      </c>
      <c r="I99" s="3">
        <v>6</v>
      </c>
      <c r="K99" s="3">
        <v>19</v>
      </c>
      <c r="L99" s="3">
        <v>11</v>
      </c>
      <c r="N99" s="21">
        <f t="shared" si="12"/>
        <v>270</v>
      </c>
      <c r="P99" s="3">
        <f>160+30</f>
        <v>190</v>
      </c>
      <c r="R99" s="3">
        <v>9</v>
      </c>
    </row>
    <row r="100" spans="2:18" ht="12" customHeight="1">
      <c r="B100" s="9" t="s">
        <v>46</v>
      </c>
      <c r="C100" s="3">
        <f t="shared" si="11"/>
        <v>642</v>
      </c>
      <c r="D100" s="3">
        <v>594</v>
      </c>
      <c r="E100" s="3">
        <v>48</v>
      </c>
      <c r="G100" s="3">
        <v>3</v>
      </c>
      <c r="H100" s="3">
        <v>16</v>
      </c>
      <c r="I100" s="3">
        <v>21</v>
      </c>
      <c r="K100" s="3">
        <v>28</v>
      </c>
      <c r="L100" s="3">
        <v>5</v>
      </c>
      <c r="N100" s="21">
        <f t="shared" si="12"/>
        <v>302</v>
      </c>
      <c r="P100" s="3">
        <f>309+31</f>
        <v>340</v>
      </c>
      <c r="R100" s="3">
        <v>23</v>
      </c>
    </row>
    <row r="101" spans="2:18" ht="12" customHeight="1">
      <c r="B101" s="9" t="s">
        <v>47</v>
      </c>
      <c r="C101" s="3">
        <f t="shared" si="11"/>
        <v>164</v>
      </c>
      <c r="D101" s="3">
        <v>150</v>
      </c>
      <c r="E101" s="3">
        <v>14</v>
      </c>
      <c r="H101" s="3">
        <v>2</v>
      </c>
      <c r="I101" s="3">
        <v>1</v>
      </c>
      <c r="K101" s="3">
        <v>3</v>
      </c>
      <c r="N101" s="21">
        <f t="shared" si="12"/>
        <v>132</v>
      </c>
      <c r="P101" s="3">
        <v>32</v>
      </c>
      <c r="R101" s="3">
        <v>1</v>
      </c>
    </row>
    <row r="102" spans="2:18" ht="12" customHeight="1">
      <c r="B102" s="9" t="s">
        <v>181</v>
      </c>
      <c r="C102" s="3">
        <f t="shared" si="11"/>
        <v>59</v>
      </c>
      <c r="D102" s="3">
        <v>31</v>
      </c>
      <c r="E102" s="3">
        <v>28</v>
      </c>
      <c r="H102" s="3">
        <v>2</v>
      </c>
      <c r="I102" s="3">
        <v>2</v>
      </c>
      <c r="K102" s="3">
        <v>9</v>
      </c>
      <c r="N102" s="21">
        <f t="shared" si="12"/>
        <v>31</v>
      </c>
      <c r="P102" s="3">
        <f>14+14</f>
        <v>28</v>
      </c>
      <c r="R102" s="3">
        <v>8</v>
      </c>
    </row>
    <row r="103" spans="2:18" ht="12" customHeight="1">
      <c r="B103" s="9" t="s">
        <v>48</v>
      </c>
      <c r="C103" s="3">
        <f t="shared" si="11"/>
        <v>554</v>
      </c>
      <c r="D103" s="3">
        <v>358</v>
      </c>
      <c r="E103" s="3">
        <v>196</v>
      </c>
      <c r="H103" s="3">
        <v>18</v>
      </c>
      <c r="I103" s="3">
        <v>24</v>
      </c>
      <c r="J103" s="3">
        <v>2</v>
      </c>
      <c r="K103" s="3">
        <v>25</v>
      </c>
      <c r="L103" s="3">
        <v>11</v>
      </c>
      <c r="N103" s="21">
        <f t="shared" si="12"/>
        <v>258</v>
      </c>
      <c r="P103" s="3">
        <f>187+109</f>
        <v>296</v>
      </c>
      <c r="R103" s="3">
        <f>51+43</f>
        <v>94</v>
      </c>
    </row>
    <row r="104" spans="2:18" ht="12" customHeight="1">
      <c r="B104" s="9" t="s">
        <v>49</v>
      </c>
      <c r="C104" s="3">
        <f t="shared" si="11"/>
        <v>701</v>
      </c>
      <c r="D104" s="3">
        <v>568</v>
      </c>
      <c r="E104" s="3">
        <v>133</v>
      </c>
      <c r="H104" s="3">
        <v>14</v>
      </c>
      <c r="I104" s="3">
        <v>5</v>
      </c>
      <c r="J104" s="3">
        <v>1</v>
      </c>
      <c r="K104" s="3">
        <v>21</v>
      </c>
      <c r="L104" s="3">
        <v>5</v>
      </c>
      <c r="N104" s="21">
        <f t="shared" si="12"/>
        <v>385</v>
      </c>
      <c r="P104" s="3">
        <f>245+71</f>
        <v>316</v>
      </c>
      <c r="R104" s="3">
        <f>87+22</f>
        <v>109</v>
      </c>
    </row>
    <row r="105" spans="2:18" ht="12" customHeight="1">
      <c r="B105" s="9" t="s">
        <v>50</v>
      </c>
      <c r="C105" s="3">
        <f t="shared" si="11"/>
        <v>525</v>
      </c>
      <c r="D105" s="3">
        <v>485</v>
      </c>
      <c r="E105" s="3">
        <v>40</v>
      </c>
      <c r="G105" s="3">
        <v>1</v>
      </c>
      <c r="H105" s="3">
        <v>13</v>
      </c>
      <c r="I105" s="3">
        <v>24</v>
      </c>
      <c r="K105" s="3">
        <v>13</v>
      </c>
      <c r="L105" s="3">
        <v>6</v>
      </c>
      <c r="N105" s="21">
        <f t="shared" si="12"/>
        <v>338</v>
      </c>
      <c r="P105" s="3">
        <f>173+14</f>
        <v>187</v>
      </c>
      <c r="R105" s="3">
        <f>47+5</f>
        <v>52</v>
      </c>
    </row>
    <row r="106" spans="2:18" ht="12" customHeight="1">
      <c r="B106" s="9" t="s">
        <v>51</v>
      </c>
      <c r="C106" s="3">
        <f t="shared" si="11"/>
        <v>347</v>
      </c>
      <c r="D106" s="3">
        <v>309</v>
      </c>
      <c r="E106" s="3">
        <v>38</v>
      </c>
      <c r="G106" s="3">
        <v>1</v>
      </c>
      <c r="H106" s="3">
        <v>3</v>
      </c>
      <c r="K106" s="3">
        <v>6</v>
      </c>
      <c r="L106" s="3">
        <v>1</v>
      </c>
      <c r="N106" s="21">
        <f t="shared" si="12"/>
        <v>244</v>
      </c>
      <c r="P106" s="3">
        <f>89+14</f>
        <v>103</v>
      </c>
      <c r="R106" s="3">
        <v>6</v>
      </c>
    </row>
    <row r="107" spans="2:18" ht="12" customHeight="1">
      <c r="B107" s="9" t="s">
        <v>52</v>
      </c>
      <c r="C107" s="3">
        <f t="shared" si="11"/>
        <v>533</v>
      </c>
      <c r="D107" s="3">
        <v>487</v>
      </c>
      <c r="E107" s="3">
        <v>46</v>
      </c>
      <c r="H107" s="3">
        <v>13</v>
      </c>
      <c r="I107" s="3">
        <v>24</v>
      </c>
      <c r="J107" s="3">
        <v>1</v>
      </c>
      <c r="K107" s="3">
        <v>13</v>
      </c>
      <c r="L107" s="3">
        <v>7</v>
      </c>
      <c r="N107" s="21">
        <f t="shared" si="12"/>
        <v>254</v>
      </c>
      <c r="P107" s="3">
        <f>248+31</f>
        <v>279</v>
      </c>
      <c r="R107" s="3">
        <f>134+20</f>
        <v>154</v>
      </c>
    </row>
    <row r="108" spans="2:18" ht="12" customHeight="1">
      <c r="B108" s="9" t="s">
        <v>53</v>
      </c>
      <c r="C108" s="3">
        <f t="shared" si="11"/>
        <v>274</v>
      </c>
      <c r="D108" s="3">
        <v>189</v>
      </c>
      <c r="E108" s="3">
        <v>85</v>
      </c>
      <c r="G108" s="3">
        <v>1</v>
      </c>
      <c r="H108" s="3">
        <v>4</v>
      </c>
      <c r="I108" s="3">
        <v>5</v>
      </c>
      <c r="K108" s="3">
        <v>10</v>
      </c>
      <c r="L108" s="3">
        <v>3</v>
      </c>
      <c r="N108" s="21">
        <f t="shared" si="12"/>
        <v>146</v>
      </c>
      <c r="P108" s="3">
        <f>91+37</f>
        <v>128</v>
      </c>
      <c r="R108" s="3">
        <f>28+6</f>
        <v>34</v>
      </c>
    </row>
    <row r="109" spans="2:18" ht="12" customHeight="1">
      <c r="B109" s="9" t="s">
        <v>96</v>
      </c>
      <c r="C109" s="3">
        <f t="shared" si="11"/>
        <v>176</v>
      </c>
      <c r="D109" s="3">
        <v>126</v>
      </c>
      <c r="E109" s="3">
        <v>50</v>
      </c>
      <c r="I109" s="3">
        <v>5</v>
      </c>
      <c r="K109" s="3">
        <v>7</v>
      </c>
      <c r="L109" s="3">
        <v>1</v>
      </c>
      <c r="N109" s="21">
        <f t="shared" si="12"/>
        <v>103</v>
      </c>
      <c r="P109" s="3">
        <f>54+19</f>
        <v>73</v>
      </c>
      <c r="R109" s="3">
        <f>14+3</f>
        <v>17</v>
      </c>
    </row>
    <row r="110" spans="2:18" ht="12" customHeight="1">
      <c r="B110" s="9" t="s">
        <v>54</v>
      </c>
      <c r="C110" s="3">
        <f>D110+E110</f>
        <v>1338</v>
      </c>
      <c r="D110" s="3">
        <v>1210</v>
      </c>
      <c r="E110" s="3">
        <v>128</v>
      </c>
      <c r="G110" s="3">
        <v>1</v>
      </c>
      <c r="H110" s="3">
        <v>22</v>
      </c>
      <c r="I110" s="3">
        <v>30</v>
      </c>
      <c r="J110" s="3">
        <v>1</v>
      </c>
      <c r="K110" s="3">
        <v>37</v>
      </c>
      <c r="L110" s="3">
        <v>13</v>
      </c>
      <c r="N110" s="21">
        <f>(C110-P110)</f>
        <v>723</v>
      </c>
      <c r="P110" s="3">
        <f>544+71</f>
        <v>615</v>
      </c>
      <c r="R110" s="3">
        <f>121+9</f>
        <v>130</v>
      </c>
    </row>
    <row r="111" spans="2:18" ht="12.75">
      <c r="B111" s="3" t="s">
        <v>182</v>
      </c>
      <c r="C111" s="3">
        <f>D111+E111</f>
        <v>97</v>
      </c>
      <c r="D111" s="3">
        <v>88</v>
      </c>
      <c r="E111" s="3">
        <v>9</v>
      </c>
      <c r="H111" s="3">
        <v>3</v>
      </c>
      <c r="I111" s="3">
        <v>8</v>
      </c>
      <c r="K111" s="3">
        <v>2</v>
      </c>
      <c r="L111" s="3">
        <v>2</v>
      </c>
      <c r="N111" s="21">
        <f>(C111-P111)</f>
        <v>70</v>
      </c>
      <c r="P111" s="3">
        <f>25+2</f>
        <v>27</v>
      </c>
      <c r="R111" s="3">
        <v>2</v>
      </c>
    </row>
    <row r="113" spans="1:18" ht="12.75">
      <c r="A113" s="9" t="s">
        <v>4</v>
      </c>
      <c r="C113" s="3">
        <f>SUM(C98:C111)</f>
        <v>5935</v>
      </c>
      <c r="D113" s="3">
        <f>SUM(D98:D111)</f>
        <v>5031</v>
      </c>
      <c r="E113" s="3">
        <f>SUM(E98:E111)</f>
        <v>904</v>
      </c>
      <c r="G113" s="3">
        <f aca="true" t="shared" si="13" ref="G113:L113">SUM(G98:G111)</f>
        <v>9</v>
      </c>
      <c r="H113" s="3">
        <f t="shared" si="13"/>
        <v>116</v>
      </c>
      <c r="I113" s="3">
        <f t="shared" si="13"/>
        <v>158</v>
      </c>
      <c r="J113" s="3">
        <f t="shared" si="13"/>
        <v>5</v>
      </c>
      <c r="K113" s="3">
        <f t="shared" si="13"/>
        <v>193</v>
      </c>
      <c r="L113" s="3">
        <f t="shared" si="13"/>
        <v>65</v>
      </c>
      <c r="N113" s="21">
        <f>SUM(N98:N111)</f>
        <v>3267</v>
      </c>
      <c r="P113" s="3">
        <f>SUM(P98:P111)</f>
        <v>2668</v>
      </c>
      <c r="R113" s="3">
        <f>SUM(R98:R111)</f>
        <v>668</v>
      </c>
    </row>
    <row r="116" spans="7:18" ht="12.75">
      <c r="G116" s="28" t="s">
        <v>1</v>
      </c>
      <c r="H116" s="28"/>
      <c r="I116" s="28"/>
      <c r="J116" s="28"/>
      <c r="K116" s="28"/>
      <c r="L116" s="28"/>
      <c r="P116" s="5" t="s">
        <v>2</v>
      </c>
      <c r="R116" s="5" t="s">
        <v>3</v>
      </c>
    </row>
    <row r="117" spans="1:18" ht="12.75">
      <c r="A117" s="4" t="s">
        <v>148</v>
      </c>
      <c r="B117" s="6"/>
      <c r="C117" s="7" t="s">
        <v>4</v>
      </c>
      <c r="D117" s="7" t="s">
        <v>5</v>
      </c>
      <c r="E117" s="7" t="s">
        <v>6</v>
      </c>
      <c r="F117" s="6"/>
      <c r="G117" s="7" t="s">
        <v>7</v>
      </c>
      <c r="H117" s="7" t="s">
        <v>8</v>
      </c>
      <c r="I117" s="7" t="s">
        <v>9</v>
      </c>
      <c r="J117" s="7">
        <v>5</v>
      </c>
      <c r="K117" s="7">
        <v>6</v>
      </c>
      <c r="L117" s="7">
        <v>7</v>
      </c>
      <c r="M117" s="6"/>
      <c r="N117" s="25" t="s">
        <v>10</v>
      </c>
      <c r="O117" s="6"/>
      <c r="P117" s="8" t="s">
        <v>11</v>
      </c>
      <c r="Q117" s="6"/>
      <c r="R117" s="8" t="s">
        <v>12</v>
      </c>
    </row>
    <row r="118" spans="2:18" ht="12.75">
      <c r="B118" s="9" t="s">
        <v>161</v>
      </c>
      <c r="C118" s="3">
        <f aca="true" t="shared" si="14" ref="C118:C137">D118+E118</f>
        <v>21</v>
      </c>
      <c r="D118" s="3">
        <v>3</v>
      </c>
      <c r="E118" s="3">
        <v>18</v>
      </c>
      <c r="I118" s="3">
        <v>2</v>
      </c>
      <c r="N118" s="21">
        <f aca="true" t="shared" si="15" ref="N118:N137">(C118-P118)</f>
        <v>11</v>
      </c>
      <c r="P118" s="3">
        <v>10</v>
      </c>
      <c r="R118" s="3">
        <v>5</v>
      </c>
    </row>
    <row r="119" spans="2:16" ht="12.75">
      <c r="B119" s="9" t="s">
        <v>144</v>
      </c>
      <c r="C119" s="3">
        <f t="shared" si="14"/>
        <v>25</v>
      </c>
      <c r="D119" s="3">
        <v>5</v>
      </c>
      <c r="E119" s="3">
        <v>20</v>
      </c>
      <c r="H119" s="3">
        <v>2</v>
      </c>
      <c r="I119" s="3">
        <v>3</v>
      </c>
      <c r="K119" s="3">
        <v>2</v>
      </c>
      <c r="N119" s="21">
        <f t="shared" si="15"/>
        <v>16</v>
      </c>
      <c r="P119" s="3">
        <v>9</v>
      </c>
    </row>
    <row r="120" spans="2:18" ht="12.75">
      <c r="B120" s="3" t="s">
        <v>230</v>
      </c>
      <c r="C120" s="3">
        <f t="shared" si="14"/>
        <v>245</v>
      </c>
      <c r="D120" s="3">
        <v>10</v>
      </c>
      <c r="E120" s="3">
        <v>235</v>
      </c>
      <c r="H120" s="3">
        <v>11</v>
      </c>
      <c r="I120" s="3">
        <v>7</v>
      </c>
      <c r="K120" s="3">
        <v>12</v>
      </c>
      <c r="L120" s="3">
        <v>5</v>
      </c>
      <c r="N120" s="21">
        <f t="shared" si="15"/>
        <v>165</v>
      </c>
      <c r="P120" s="3">
        <f>5+75</f>
        <v>80</v>
      </c>
      <c r="R120" s="3">
        <v>5</v>
      </c>
    </row>
    <row r="121" spans="2:18" ht="25.5">
      <c r="B121" s="13" t="s">
        <v>183</v>
      </c>
      <c r="C121" s="3">
        <f t="shared" si="14"/>
        <v>184</v>
      </c>
      <c r="D121" s="3">
        <v>7</v>
      </c>
      <c r="E121" s="3">
        <v>177</v>
      </c>
      <c r="H121" s="3">
        <v>3</v>
      </c>
      <c r="I121" s="3">
        <v>9</v>
      </c>
      <c r="J121" s="3">
        <v>1</v>
      </c>
      <c r="K121" s="3">
        <v>6</v>
      </c>
      <c r="L121" s="3">
        <v>5</v>
      </c>
      <c r="N121" s="21">
        <f t="shared" si="15"/>
        <v>113</v>
      </c>
      <c r="P121" s="3">
        <v>71</v>
      </c>
      <c r="R121" s="3">
        <v>10</v>
      </c>
    </row>
    <row r="122" spans="2:18" ht="12.75">
      <c r="B122" s="9" t="s">
        <v>145</v>
      </c>
      <c r="C122" s="3">
        <f t="shared" si="14"/>
        <v>363</v>
      </c>
      <c r="D122" s="3">
        <v>29</v>
      </c>
      <c r="E122" s="3">
        <v>334</v>
      </c>
      <c r="H122" s="3">
        <v>16</v>
      </c>
      <c r="I122" s="3">
        <v>7</v>
      </c>
      <c r="K122" s="3">
        <v>11</v>
      </c>
      <c r="L122" s="3">
        <v>3</v>
      </c>
      <c r="N122" s="21">
        <f t="shared" si="15"/>
        <v>309</v>
      </c>
      <c r="P122" s="3">
        <f>4+50</f>
        <v>54</v>
      </c>
      <c r="R122" s="3">
        <v>2</v>
      </c>
    </row>
    <row r="123" spans="2:18" ht="12.75">
      <c r="B123" s="9" t="s">
        <v>184</v>
      </c>
      <c r="C123" s="3">
        <f t="shared" si="14"/>
        <v>45</v>
      </c>
      <c r="D123" s="3">
        <v>13</v>
      </c>
      <c r="E123" s="3">
        <v>32</v>
      </c>
      <c r="I123" s="3">
        <v>2</v>
      </c>
      <c r="L123" s="3">
        <v>1</v>
      </c>
      <c r="N123" s="21">
        <f t="shared" si="15"/>
        <v>35</v>
      </c>
      <c r="P123" s="3">
        <v>10</v>
      </c>
      <c r="R123" s="3">
        <v>1</v>
      </c>
    </row>
    <row r="124" spans="2:14" ht="12.75">
      <c r="B124" s="9" t="s">
        <v>185</v>
      </c>
      <c r="C124" s="3">
        <f t="shared" si="14"/>
        <v>1</v>
      </c>
      <c r="D124" s="3">
        <v>0</v>
      </c>
      <c r="E124" s="3">
        <v>1</v>
      </c>
      <c r="N124" s="21">
        <f t="shared" si="15"/>
        <v>1</v>
      </c>
    </row>
    <row r="125" spans="2:18" ht="12.75">
      <c r="B125" s="9" t="s">
        <v>186</v>
      </c>
      <c r="C125" s="3">
        <f t="shared" si="14"/>
        <v>229</v>
      </c>
      <c r="D125" s="3">
        <v>14</v>
      </c>
      <c r="E125" s="3">
        <v>215</v>
      </c>
      <c r="I125" s="3">
        <v>6</v>
      </c>
      <c r="K125" s="3">
        <v>4</v>
      </c>
      <c r="L125" s="3">
        <v>2</v>
      </c>
      <c r="N125" s="21">
        <f t="shared" si="15"/>
        <v>176</v>
      </c>
      <c r="P125" s="3">
        <f>4+49</f>
        <v>53</v>
      </c>
      <c r="R125" s="3">
        <v>11</v>
      </c>
    </row>
    <row r="126" spans="2:18" ht="12.75">
      <c r="B126" s="9" t="s">
        <v>146</v>
      </c>
      <c r="C126" s="3">
        <f t="shared" si="14"/>
        <v>181</v>
      </c>
      <c r="D126" s="3">
        <v>2</v>
      </c>
      <c r="E126" s="3">
        <v>179</v>
      </c>
      <c r="G126" s="3">
        <v>1</v>
      </c>
      <c r="H126" s="3">
        <v>2</v>
      </c>
      <c r="I126" s="3">
        <v>2</v>
      </c>
      <c r="K126" s="3">
        <v>11</v>
      </c>
      <c r="L126" s="3">
        <v>4</v>
      </c>
      <c r="N126" s="21">
        <f t="shared" si="15"/>
        <v>149</v>
      </c>
      <c r="P126" s="3">
        <f>1+31</f>
        <v>32</v>
      </c>
      <c r="R126" s="3">
        <v>4</v>
      </c>
    </row>
    <row r="127" spans="2:18" ht="12.75">
      <c r="B127" s="9" t="s">
        <v>43</v>
      </c>
      <c r="C127" s="3">
        <f t="shared" si="14"/>
        <v>617</v>
      </c>
      <c r="D127" s="3">
        <v>66</v>
      </c>
      <c r="E127" s="3">
        <v>551</v>
      </c>
      <c r="G127" s="3">
        <v>1</v>
      </c>
      <c r="H127" s="3">
        <v>7</v>
      </c>
      <c r="I127" s="3">
        <v>3</v>
      </c>
      <c r="K127" s="3">
        <v>16</v>
      </c>
      <c r="L127" s="3">
        <v>5</v>
      </c>
      <c r="N127" s="21">
        <f t="shared" si="15"/>
        <v>513</v>
      </c>
      <c r="P127" s="3">
        <f>2+102</f>
        <v>104</v>
      </c>
      <c r="R127" s="3">
        <v>1</v>
      </c>
    </row>
    <row r="128" spans="2:18" ht="12.75">
      <c r="B128" s="9" t="s">
        <v>244</v>
      </c>
      <c r="C128" s="3">
        <f t="shared" si="14"/>
        <v>130</v>
      </c>
      <c r="D128" s="3">
        <v>7</v>
      </c>
      <c r="E128" s="3">
        <v>123</v>
      </c>
      <c r="H128" s="3">
        <v>1</v>
      </c>
      <c r="I128" s="3">
        <v>3</v>
      </c>
      <c r="K128" s="3">
        <v>6</v>
      </c>
      <c r="L128" s="3">
        <v>2</v>
      </c>
      <c r="N128" s="21">
        <f t="shared" si="15"/>
        <v>107</v>
      </c>
      <c r="P128" s="3">
        <f>1+22</f>
        <v>23</v>
      </c>
      <c r="R128" s="3">
        <v>1</v>
      </c>
    </row>
    <row r="129" spans="2:14" ht="12.75">
      <c r="B129" s="9" t="s">
        <v>147</v>
      </c>
      <c r="C129" s="3">
        <f t="shared" si="14"/>
        <v>20</v>
      </c>
      <c r="D129" s="3">
        <v>7</v>
      </c>
      <c r="E129" s="3">
        <v>13</v>
      </c>
      <c r="K129" s="3">
        <v>1</v>
      </c>
      <c r="N129" s="21">
        <f t="shared" si="15"/>
        <v>20</v>
      </c>
    </row>
    <row r="130" spans="2:16" ht="25.5">
      <c r="B130" s="13" t="s">
        <v>187</v>
      </c>
      <c r="C130" s="3">
        <f t="shared" si="14"/>
        <v>57</v>
      </c>
      <c r="D130" s="3">
        <v>3</v>
      </c>
      <c r="E130" s="3">
        <v>54</v>
      </c>
      <c r="I130" s="3">
        <v>1</v>
      </c>
      <c r="K130" s="3">
        <v>3</v>
      </c>
      <c r="N130" s="21">
        <f t="shared" si="15"/>
        <v>53</v>
      </c>
      <c r="P130" s="3">
        <v>4</v>
      </c>
    </row>
    <row r="131" spans="2:18" ht="12.75">
      <c r="B131" s="9" t="s">
        <v>188</v>
      </c>
      <c r="C131" s="3">
        <f t="shared" si="14"/>
        <v>60</v>
      </c>
      <c r="D131" s="3">
        <v>17</v>
      </c>
      <c r="E131" s="3">
        <v>43</v>
      </c>
      <c r="I131" s="3">
        <v>4</v>
      </c>
      <c r="K131" s="3">
        <v>2</v>
      </c>
      <c r="N131" s="21">
        <f t="shared" si="15"/>
        <v>32</v>
      </c>
      <c r="P131" s="3">
        <f>5+23</f>
        <v>28</v>
      </c>
      <c r="R131" s="3">
        <v>8</v>
      </c>
    </row>
    <row r="132" spans="2:14" ht="12.75">
      <c r="B132" s="9" t="s">
        <v>105</v>
      </c>
      <c r="C132" s="3">
        <f t="shared" si="14"/>
        <v>1</v>
      </c>
      <c r="D132" s="3">
        <v>1</v>
      </c>
      <c r="E132" s="3">
        <v>0</v>
      </c>
      <c r="N132" s="21">
        <f t="shared" si="15"/>
        <v>1</v>
      </c>
    </row>
    <row r="133" spans="2:18" ht="12.75">
      <c r="B133" s="3" t="s">
        <v>231</v>
      </c>
      <c r="C133" s="3">
        <f t="shared" si="14"/>
        <v>86</v>
      </c>
      <c r="D133" s="3">
        <v>29</v>
      </c>
      <c r="E133" s="3">
        <v>57</v>
      </c>
      <c r="H133" s="3">
        <v>3</v>
      </c>
      <c r="I133" s="3">
        <v>1</v>
      </c>
      <c r="J133" s="3">
        <v>1</v>
      </c>
      <c r="K133" s="3">
        <v>2</v>
      </c>
      <c r="L133" s="3">
        <v>1</v>
      </c>
      <c r="N133" s="21">
        <f t="shared" si="15"/>
        <v>61</v>
      </c>
      <c r="P133" s="3">
        <v>25</v>
      </c>
      <c r="R133" s="3">
        <v>10</v>
      </c>
    </row>
    <row r="134" spans="2:18" ht="25.5">
      <c r="B134" s="13" t="s">
        <v>189</v>
      </c>
      <c r="C134" s="3">
        <f t="shared" si="14"/>
        <v>55</v>
      </c>
      <c r="D134" s="3">
        <v>26</v>
      </c>
      <c r="E134" s="3">
        <v>29</v>
      </c>
      <c r="H134" s="3">
        <v>1</v>
      </c>
      <c r="I134" s="3">
        <v>1</v>
      </c>
      <c r="K134" s="3">
        <v>3</v>
      </c>
      <c r="L134" s="3">
        <v>1</v>
      </c>
      <c r="N134" s="21">
        <f t="shared" si="15"/>
        <v>37</v>
      </c>
      <c r="P134" s="3">
        <f>5+13</f>
        <v>18</v>
      </c>
      <c r="R134" s="3">
        <v>4</v>
      </c>
    </row>
    <row r="135" spans="2:18" ht="12.75">
      <c r="B135" s="13" t="s">
        <v>167</v>
      </c>
      <c r="C135" s="3">
        <f>D135+E135</f>
        <v>1027</v>
      </c>
      <c r="D135" s="3">
        <v>477</v>
      </c>
      <c r="E135" s="3">
        <v>550</v>
      </c>
      <c r="G135" s="3">
        <v>4</v>
      </c>
      <c r="H135" s="3">
        <f>19+21</f>
        <v>40</v>
      </c>
      <c r="I135" s="3">
        <f>13+8</f>
        <v>21</v>
      </c>
      <c r="K135" s="3">
        <f>24+13</f>
        <v>37</v>
      </c>
      <c r="L135" s="3">
        <v>14</v>
      </c>
      <c r="N135" s="21">
        <f>(C135-P135)</f>
        <v>788</v>
      </c>
      <c r="P135" s="3">
        <f>89+150</f>
        <v>239</v>
      </c>
      <c r="R135" s="3">
        <v>5</v>
      </c>
    </row>
    <row r="136" spans="2:18" ht="12.75">
      <c r="B136" s="9" t="s">
        <v>190</v>
      </c>
      <c r="C136" s="3">
        <f t="shared" si="14"/>
        <v>39</v>
      </c>
      <c r="D136" s="3">
        <v>9</v>
      </c>
      <c r="E136" s="3">
        <v>30</v>
      </c>
      <c r="H136" s="3">
        <v>2</v>
      </c>
      <c r="I136" s="3">
        <v>2</v>
      </c>
      <c r="K136" s="3">
        <v>1</v>
      </c>
      <c r="N136" s="21">
        <f t="shared" si="15"/>
        <v>28</v>
      </c>
      <c r="P136" s="3">
        <v>11</v>
      </c>
      <c r="R136" s="3">
        <v>2</v>
      </c>
    </row>
    <row r="137" spans="2:16" ht="12.75">
      <c r="B137" s="9" t="s">
        <v>191</v>
      </c>
      <c r="C137" s="3">
        <f t="shared" si="14"/>
        <v>44</v>
      </c>
      <c r="D137" s="3">
        <v>5</v>
      </c>
      <c r="E137" s="3">
        <v>39</v>
      </c>
      <c r="G137" s="3">
        <v>1</v>
      </c>
      <c r="I137" s="3">
        <v>1</v>
      </c>
      <c r="K137" s="3">
        <v>2</v>
      </c>
      <c r="N137" s="21">
        <f t="shared" si="15"/>
        <v>28</v>
      </c>
      <c r="P137" s="3">
        <v>16</v>
      </c>
    </row>
    <row r="139" spans="1:18" ht="12.75">
      <c r="A139" s="9" t="s">
        <v>4</v>
      </c>
      <c r="C139" s="3">
        <f>SUM(C118:C138)</f>
        <v>3430</v>
      </c>
      <c r="D139" s="3">
        <f>SUM(D118:D138)</f>
        <v>730</v>
      </c>
      <c r="E139" s="3">
        <f>SUM(E118:E137)</f>
        <v>2700</v>
      </c>
      <c r="G139" s="3">
        <f aca="true" t="shared" si="16" ref="G139:L139">SUM(G118:G137)</f>
        <v>7</v>
      </c>
      <c r="H139" s="3">
        <f t="shared" si="16"/>
        <v>88</v>
      </c>
      <c r="I139" s="3">
        <f t="shared" si="16"/>
        <v>75</v>
      </c>
      <c r="J139" s="3">
        <f t="shared" si="16"/>
        <v>2</v>
      </c>
      <c r="K139" s="3">
        <f t="shared" si="16"/>
        <v>119</v>
      </c>
      <c r="L139" s="3">
        <f t="shared" si="16"/>
        <v>43</v>
      </c>
      <c r="N139" s="21">
        <f>SUM(N118:N138)</f>
        <v>2643</v>
      </c>
      <c r="P139" s="3">
        <f>SUM(P118:P137)</f>
        <v>787</v>
      </c>
      <c r="R139" s="3">
        <f>SUM(R118:R137)</f>
        <v>69</v>
      </c>
    </row>
    <row r="142" ht="12.75">
      <c r="A142" s="9"/>
    </row>
    <row r="143" ht="12.75">
      <c r="A143" s="10"/>
    </row>
    <row r="144" spans="1:19" ht="12.75">
      <c r="A144" s="2" t="s">
        <v>237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7"/>
      <c r="O144" s="2"/>
      <c r="P144" s="2"/>
      <c r="Q144" s="2"/>
      <c r="R144" s="2"/>
      <c r="S144" s="2"/>
    </row>
    <row r="146" spans="7:18" ht="12.75">
      <c r="G146" s="28" t="s">
        <v>1</v>
      </c>
      <c r="H146" s="28"/>
      <c r="I146" s="28"/>
      <c r="J146" s="28"/>
      <c r="K146" s="28"/>
      <c r="L146" s="28"/>
      <c r="P146" s="5" t="s">
        <v>2</v>
      </c>
      <c r="R146" s="5" t="s">
        <v>3</v>
      </c>
    </row>
    <row r="147" spans="1:18" ht="12.75">
      <c r="A147" s="4" t="s">
        <v>55</v>
      </c>
      <c r="B147" s="6"/>
      <c r="C147" s="7" t="s">
        <v>4</v>
      </c>
      <c r="D147" s="7" t="s">
        <v>5</v>
      </c>
      <c r="E147" s="7" t="s">
        <v>6</v>
      </c>
      <c r="F147" s="6"/>
      <c r="G147" s="7" t="s">
        <v>7</v>
      </c>
      <c r="H147" s="7" t="s">
        <v>8</v>
      </c>
      <c r="I147" s="7" t="s">
        <v>9</v>
      </c>
      <c r="J147" s="7">
        <v>5</v>
      </c>
      <c r="K147" s="7">
        <v>6</v>
      </c>
      <c r="L147" s="7">
        <v>7</v>
      </c>
      <c r="M147" s="6"/>
      <c r="N147" s="25" t="s">
        <v>10</v>
      </c>
      <c r="O147" s="6"/>
      <c r="P147" s="8" t="s">
        <v>11</v>
      </c>
      <c r="Q147" s="6"/>
      <c r="R147" s="8" t="s">
        <v>12</v>
      </c>
    </row>
    <row r="148" spans="2:18" ht="12" customHeight="1">
      <c r="B148" s="14" t="s">
        <v>149</v>
      </c>
      <c r="C148" s="3">
        <f aca="true" t="shared" si="17" ref="C148:C180">D148+E148</f>
        <v>123</v>
      </c>
      <c r="D148" s="3">
        <v>80</v>
      </c>
      <c r="E148" s="3">
        <v>43</v>
      </c>
      <c r="H148" s="3">
        <v>1</v>
      </c>
      <c r="I148" s="3">
        <v>1</v>
      </c>
      <c r="K148" s="3">
        <v>1</v>
      </c>
      <c r="N148" s="21">
        <f aca="true" t="shared" si="18" ref="N148:N160">(C148-P148)</f>
        <v>3</v>
      </c>
      <c r="P148" s="17">
        <f>79+41</f>
        <v>120</v>
      </c>
      <c r="R148" s="3">
        <f>78+40</f>
        <v>118</v>
      </c>
    </row>
    <row r="149" spans="2:18" ht="12" customHeight="1">
      <c r="B149" s="14" t="s">
        <v>162</v>
      </c>
      <c r="C149" s="3">
        <f t="shared" si="17"/>
        <v>181</v>
      </c>
      <c r="D149" s="3">
        <v>87</v>
      </c>
      <c r="E149" s="3">
        <v>94</v>
      </c>
      <c r="G149" s="3">
        <v>1</v>
      </c>
      <c r="H149" s="3">
        <v>5</v>
      </c>
      <c r="I149" s="3">
        <v>18</v>
      </c>
      <c r="K149" s="3">
        <v>3</v>
      </c>
      <c r="L149" s="3">
        <v>2</v>
      </c>
      <c r="N149" s="21">
        <f t="shared" si="18"/>
        <v>139</v>
      </c>
      <c r="P149" s="17">
        <f>23+19</f>
        <v>42</v>
      </c>
      <c r="R149" s="3">
        <f>13+9</f>
        <v>22</v>
      </c>
    </row>
    <row r="150" spans="2:16" ht="12" customHeight="1">
      <c r="B150" s="14" t="s">
        <v>241</v>
      </c>
      <c r="C150" s="3">
        <f t="shared" si="17"/>
        <v>9</v>
      </c>
      <c r="D150" s="3">
        <v>3</v>
      </c>
      <c r="E150" s="3">
        <v>6</v>
      </c>
      <c r="N150" s="21">
        <f t="shared" si="18"/>
        <v>8</v>
      </c>
      <c r="P150" s="17">
        <v>1</v>
      </c>
    </row>
    <row r="151" spans="2:18" ht="12" customHeight="1">
      <c r="B151" s="14" t="s">
        <v>132</v>
      </c>
      <c r="C151" s="3">
        <f t="shared" si="17"/>
        <v>742</v>
      </c>
      <c r="D151" s="3">
        <v>334</v>
      </c>
      <c r="E151" s="3">
        <v>408</v>
      </c>
      <c r="G151" s="3">
        <v>2</v>
      </c>
      <c r="H151" s="3">
        <v>37</v>
      </c>
      <c r="I151" s="3">
        <v>22</v>
      </c>
      <c r="K151" s="3">
        <f>12+10</f>
        <v>22</v>
      </c>
      <c r="L151" s="3">
        <v>21</v>
      </c>
      <c r="N151" s="21">
        <f t="shared" si="18"/>
        <v>519</v>
      </c>
      <c r="P151" s="17">
        <f>103+120</f>
        <v>223</v>
      </c>
      <c r="R151" s="3">
        <v>11</v>
      </c>
    </row>
    <row r="152" spans="2:18" ht="12" customHeight="1">
      <c r="B152" s="14" t="s">
        <v>56</v>
      </c>
      <c r="C152" s="3">
        <f t="shared" si="17"/>
        <v>89</v>
      </c>
      <c r="D152" s="3">
        <v>31</v>
      </c>
      <c r="E152" s="3">
        <v>58</v>
      </c>
      <c r="G152" s="3">
        <v>1</v>
      </c>
      <c r="I152" s="3">
        <v>2</v>
      </c>
      <c r="K152" s="3">
        <v>1</v>
      </c>
      <c r="N152" s="21">
        <f t="shared" si="18"/>
        <v>65</v>
      </c>
      <c r="P152" s="17">
        <v>24</v>
      </c>
      <c r="R152" s="3">
        <v>4</v>
      </c>
    </row>
    <row r="153" spans="2:16" ht="12" customHeight="1">
      <c r="B153" s="14" t="s">
        <v>57</v>
      </c>
      <c r="C153" s="3">
        <f t="shared" si="17"/>
        <v>96</v>
      </c>
      <c r="D153" s="3">
        <v>24</v>
      </c>
      <c r="E153" s="3">
        <v>72</v>
      </c>
      <c r="G153" s="3">
        <v>1</v>
      </c>
      <c r="H153" s="3">
        <v>2</v>
      </c>
      <c r="I153" s="3">
        <v>1</v>
      </c>
      <c r="K153" s="3">
        <v>4</v>
      </c>
      <c r="N153" s="21">
        <f t="shared" si="18"/>
        <v>86</v>
      </c>
      <c r="P153" s="17">
        <v>10</v>
      </c>
    </row>
    <row r="154" spans="2:18" ht="12" customHeight="1">
      <c r="B154" s="14" t="s">
        <v>58</v>
      </c>
      <c r="C154" s="3">
        <f t="shared" si="17"/>
        <v>133</v>
      </c>
      <c r="D154" s="3">
        <v>60</v>
      </c>
      <c r="E154" s="3">
        <v>73</v>
      </c>
      <c r="G154" s="3">
        <v>1</v>
      </c>
      <c r="H154" s="3">
        <v>4</v>
      </c>
      <c r="I154" s="3">
        <v>13</v>
      </c>
      <c r="K154" s="3">
        <v>7</v>
      </c>
      <c r="L154" s="3">
        <v>3</v>
      </c>
      <c r="N154" s="21">
        <f t="shared" si="18"/>
        <v>84</v>
      </c>
      <c r="P154" s="17">
        <f>19+30</f>
        <v>49</v>
      </c>
      <c r="R154" s="3">
        <v>18</v>
      </c>
    </row>
    <row r="155" spans="2:18" ht="12" customHeight="1">
      <c r="B155" s="14" t="s">
        <v>116</v>
      </c>
      <c r="C155" s="3">
        <f t="shared" si="17"/>
        <v>9</v>
      </c>
      <c r="D155" s="3">
        <v>5</v>
      </c>
      <c r="E155" s="3">
        <v>4</v>
      </c>
      <c r="I155" s="3">
        <v>1</v>
      </c>
      <c r="N155" s="21">
        <f>(C155-P155)</f>
        <v>5</v>
      </c>
      <c r="P155" s="17">
        <v>4</v>
      </c>
      <c r="R155" s="3">
        <v>2</v>
      </c>
    </row>
    <row r="156" spans="2:16" ht="12" customHeight="1">
      <c r="B156" s="14" t="s">
        <v>222</v>
      </c>
      <c r="C156" s="3">
        <f t="shared" si="17"/>
        <v>20</v>
      </c>
      <c r="D156" s="3">
        <v>3</v>
      </c>
      <c r="E156" s="3">
        <v>17</v>
      </c>
      <c r="I156" s="3">
        <v>1</v>
      </c>
      <c r="K156" s="3">
        <v>2</v>
      </c>
      <c r="N156" s="21">
        <f t="shared" si="18"/>
        <v>8</v>
      </c>
      <c r="P156" s="17">
        <v>12</v>
      </c>
    </row>
    <row r="157" spans="2:18" ht="12" customHeight="1">
      <c r="B157" s="14" t="s">
        <v>192</v>
      </c>
      <c r="C157" s="3">
        <f t="shared" si="17"/>
        <v>380</v>
      </c>
      <c r="D157" s="3">
        <v>159</v>
      </c>
      <c r="E157" s="3">
        <v>221</v>
      </c>
      <c r="H157" s="3">
        <v>17</v>
      </c>
      <c r="I157" s="3">
        <v>29</v>
      </c>
      <c r="K157" s="3">
        <v>22</v>
      </c>
      <c r="L157" s="3">
        <v>11</v>
      </c>
      <c r="N157" s="21">
        <f t="shared" si="18"/>
        <v>270</v>
      </c>
      <c r="P157" s="17">
        <f>41+69</f>
        <v>110</v>
      </c>
      <c r="R157" s="3">
        <v>20</v>
      </c>
    </row>
    <row r="158" spans="2:16" ht="12" customHeight="1">
      <c r="B158" s="14" t="s">
        <v>59</v>
      </c>
      <c r="C158" s="3">
        <f t="shared" si="17"/>
        <v>6</v>
      </c>
      <c r="D158" s="3">
        <v>5</v>
      </c>
      <c r="E158" s="3">
        <v>1</v>
      </c>
      <c r="I158" s="3">
        <v>2</v>
      </c>
      <c r="L158" s="3">
        <v>1</v>
      </c>
      <c r="N158" s="21">
        <f t="shared" si="18"/>
        <v>3</v>
      </c>
      <c r="P158" s="17">
        <v>3</v>
      </c>
    </row>
    <row r="159" spans="2:18" ht="12" customHeight="1">
      <c r="B159" s="14" t="s">
        <v>60</v>
      </c>
      <c r="C159" s="3">
        <f t="shared" si="17"/>
        <v>117</v>
      </c>
      <c r="D159" s="3">
        <v>70</v>
      </c>
      <c r="E159" s="3">
        <v>47</v>
      </c>
      <c r="H159" s="3">
        <v>6</v>
      </c>
      <c r="I159" s="3">
        <v>7</v>
      </c>
      <c r="J159" s="3">
        <v>1</v>
      </c>
      <c r="K159" s="3">
        <v>4</v>
      </c>
      <c r="N159" s="21">
        <f t="shared" si="18"/>
        <v>78</v>
      </c>
      <c r="P159" s="17">
        <f>22+17</f>
        <v>39</v>
      </c>
      <c r="R159" s="3">
        <v>6</v>
      </c>
    </row>
    <row r="160" spans="2:18" ht="12" customHeight="1">
      <c r="B160" s="14" t="s">
        <v>97</v>
      </c>
      <c r="C160" s="3">
        <f t="shared" si="17"/>
        <v>239</v>
      </c>
      <c r="D160" s="3">
        <v>87</v>
      </c>
      <c r="E160" s="3">
        <v>152</v>
      </c>
      <c r="G160" s="3">
        <v>1</v>
      </c>
      <c r="H160" s="3">
        <v>8</v>
      </c>
      <c r="I160" s="3">
        <v>6</v>
      </c>
      <c r="J160" s="3">
        <v>1</v>
      </c>
      <c r="K160" s="3">
        <v>9</v>
      </c>
      <c r="L160" s="3">
        <v>3</v>
      </c>
      <c r="N160" s="21">
        <f t="shared" si="18"/>
        <v>175</v>
      </c>
      <c r="P160" s="17">
        <f>15+49</f>
        <v>64</v>
      </c>
      <c r="R160" s="3">
        <v>6</v>
      </c>
    </row>
    <row r="161" spans="2:18" ht="12" customHeight="1">
      <c r="B161" s="14" t="s">
        <v>150</v>
      </c>
      <c r="C161" s="3">
        <f t="shared" si="17"/>
        <v>142</v>
      </c>
      <c r="D161" s="3">
        <v>132</v>
      </c>
      <c r="E161" s="3">
        <v>10</v>
      </c>
      <c r="H161" s="3">
        <v>2</v>
      </c>
      <c r="I161" s="3">
        <v>1</v>
      </c>
      <c r="K161" s="3">
        <v>2</v>
      </c>
      <c r="L161" s="3">
        <v>1</v>
      </c>
      <c r="N161" s="21">
        <f aca="true" t="shared" si="19" ref="N161:N200">(C161-P161)</f>
        <v>95</v>
      </c>
      <c r="P161" s="17">
        <f>43+4</f>
        <v>47</v>
      </c>
      <c r="R161" s="3">
        <v>23</v>
      </c>
    </row>
    <row r="162" spans="2:18" ht="12" customHeight="1">
      <c r="B162" s="14" t="s">
        <v>61</v>
      </c>
      <c r="C162" s="3">
        <f t="shared" si="17"/>
        <v>11</v>
      </c>
      <c r="D162" s="3">
        <v>6</v>
      </c>
      <c r="E162" s="3">
        <v>5</v>
      </c>
      <c r="N162" s="21">
        <f t="shared" si="19"/>
        <v>8</v>
      </c>
      <c r="P162" s="17">
        <v>3</v>
      </c>
      <c r="R162" s="3">
        <v>1</v>
      </c>
    </row>
    <row r="163" spans="2:18" ht="12" customHeight="1">
      <c r="B163" s="14" t="s">
        <v>193</v>
      </c>
      <c r="C163" s="3">
        <f t="shared" si="17"/>
        <v>79</v>
      </c>
      <c r="D163" s="3">
        <v>59</v>
      </c>
      <c r="E163" s="3">
        <v>20</v>
      </c>
      <c r="H163" s="3">
        <v>4</v>
      </c>
      <c r="I163" s="3">
        <v>5</v>
      </c>
      <c r="K163" s="3">
        <v>1</v>
      </c>
      <c r="L163" s="3">
        <v>1</v>
      </c>
      <c r="N163" s="21">
        <f t="shared" si="19"/>
        <v>42</v>
      </c>
      <c r="P163" s="17">
        <f>22+15</f>
        <v>37</v>
      </c>
      <c r="R163" s="3">
        <v>27</v>
      </c>
    </row>
    <row r="164" spans="2:18" ht="12" customHeight="1">
      <c r="B164" s="14" t="s">
        <v>62</v>
      </c>
      <c r="C164" s="3">
        <f t="shared" si="17"/>
        <v>236</v>
      </c>
      <c r="D164" s="3">
        <v>70</v>
      </c>
      <c r="E164" s="3">
        <v>166</v>
      </c>
      <c r="H164" s="3">
        <v>3</v>
      </c>
      <c r="I164" s="3">
        <v>2</v>
      </c>
      <c r="K164" s="3">
        <v>8</v>
      </c>
      <c r="L164" s="3">
        <v>4</v>
      </c>
      <c r="N164" s="21">
        <f t="shared" si="19"/>
        <v>201</v>
      </c>
      <c r="P164" s="17">
        <f>9+26</f>
        <v>35</v>
      </c>
      <c r="R164" s="3">
        <v>1</v>
      </c>
    </row>
    <row r="165" spans="2:18" ht="12" customHeight="1">
      <c r="B165" s="14" t="s">
        <v>194</v>
      </c>
      <c r="C165" s="3">
        <f t="shared" si="17"/>
        <v>59</v>
      </c>
      <c r="D165" s="3">
        <v>29</v>
      </c>
      <c r="E165" s="3">
        <v>30</v>
      </c>
      <c r="H165" s="3">
        <v>3</v>
      </c>
      <c r="K165" s="3">
        <v>5</v>
      </c>
      <c r="N165" s="21">
        <f t="shared" si="19"/>
        <v>33</v>
      </c>
      <c r="P165" s="17">
        <f>12+14</f>
        <v>26</v>
      </c>
      <c r="R165" s="3">
        <v>6</v>
      </c>
    </row>
    <row r="166" spans="2:16" ht="12" customHeight="1">
      <c r="B166" s="14" t="s">
        <v>63</v>
      </c>
      <c r="C166" s="3">
        <f t="shared" si="17"/>
        <v>2</v>
      </c>
      <c r="D166" s="3">
        <v>0</v>
      </c>
      <c r="E166" s="3">
        <v>2</v>
      </c>
      <c r="N166" s="21">
        <f t="shared" si="19"/>
        <v>1</v>
      </c>
      <c r="P166" s="17">
        <v>1</v>
      </c>
    </row>
    <row r="167" spans="2:18" ht="12" customHeight="1">
      <c r="B167" s="14" t="s">
        <v>195</v>
      </c>
      <c r="C167" s="3">
        <f t="shared" si="17"/>
        <v>79</v>
      </c>
      <c r="D167" s="3">
        <v>27</v>
      </c>
      <c r="E167" s="3">
        <v>52</v>
      </c>
      <c r="G167" s="3">
        <v>3</v>
      </c>
      <c r="I167" s="3">
        <v>2</v>
      </c>
      <c r="K167" s="3">
        <v>10</v>
      </c>
      <c r="L167" s="3">
        <v>2</v>
      </c>
      <c r="N167" s="21">
        <f t="shared" si="19"/>
        <v>46</v>
      </c>
      <c r="P167" s="17">
        <f>5+28</f>
        <v>33</v>
      </c>
      <c r="R167" s="3">
        <v>6</v>
      </c>
    </row>
    <row r="168" spans="2:18" ht="12" customHeight="1">
      <c r="B168" s="14" t="s">
        <v>64</v>
      </c>
      <c r="C168" s="3">
        <f t="shared" si="17"/>
        <v>52</v>
      </c>
      <c r="D168" s="3">
        <v>35</v>
      </c>
      <c r="E168" s="3">
        <v>17</v>
      </c>
      <c r="G168" s="3">
        <v>1</v>
      </c>
      <c r="I168" s="3">
        <v>1</v>
      </c>
      <c r="K168" s="3">
        <v>3</v>
      </c>
      <c r="N168" s="21">
        <f t="shared" si="19"/>
        <v>39</v>
      </c>
      <c r="P168" s="17">
        <f>9+4</f>
        <v>13</v>
      </c>
      <c r="R168" s="3">
        <v>2</v>
      </c>
    </row>
    <row r="169" spans="2:16" ht="12" customHeight="1">
      <c r="B169" s="14" t="s">
        <v>65</v>
      </c>
      <c r="C169" s="3">
        <f t="shared" si="17"/>
        <v>5</v>
      </c>
      <c r="D169" s="3">
        <v>3</v>
      </c>
      <c r="E169" s="3">
        <v>2</v>
      </c>
      <c r="N169" s="21">
        <f t="shared" si="19"/>
        <v>5</v>
      </c>
      <c r="P169" s="17"/>
    </row>
    <row r="170" spans="2:18" ht="12" customHeight="1">
      <c r="B170" s="14" t="s">
        <v>66</v>
      </c>
      <c r="C170" s="3">
        <f t="shared" si="17"/>
        <v>331</v>
      </c>
      <c r="D170" s="3">
        <v>227</v>
      </c>
      <c r="E170" s="3">
        <v>104</v>
      </c>
      <c r="H170" s="3">
        <v>4</v>
      </c>
      <c r="I170" s="3">
        <v>5</v>
      </c>
      <c r="K170" s="3">
        <v>15</v>
      </c>
      <c r="L170" s="3">
        <v>8</v>
      </c>
      <c r="N170" s="21">
        <f t="shared" si="19"/>
        <v>287</v>
      </c>
      <c r="P170" s="17">
        <f>30+14</f>
        <v>44</v>
      </c>
      <c r="R170" s="3">
        <v>1</v>
      </c>
    </row>
    <row r="171" spans="2:18" ht="12" customHeight="1">
      <c r="B171" s="14" t="s">
        <v>67</v>
      </c>
      <c r="C171" s="3">
        <f t="shared" si="17"/>
        <v>326</v>
      </c>
      <c r="D171" s="3">
        <v>220</v>
      </c>
      <c r="E171" s="3">
        <v>106</v>
      </c>
      <c r="G171" s="3">
        <v>2</v>
      </c>
      <c r="H171" s="3">
        <v>28</v>
      </c>
      <c r="I171" s="3">
        <v>8</v>
      </c>
      <c r="K171" s="3">
        <v>22</v>
      </c>
      <c r="L171" s="3">
        <v>6</v>
      </c>
      <c r="N171" s="21">
        <f t="shared" si="19"/>
        <v>260</v>
      </c>
      <c r="P171" s="17">
        <f>39+27</f>
        <v>66</v>
      </c>
      <c r="R171" s="3">
        <v>1</v>
      </c>
    </row>
    <row r="172" spans="2:18" ht="12" customHeight="1">
      <c r="B172" s="14" t="s">
        <v>151</v>
      </c>
      <c r="C172" s="3">
        <f t="shared" si="17"/>
        <v>191</v>
      </c>
      <c r="D172" s="3">
        <v>60</v>
      </c>
      <c r="E172" s="3">
        <v>131</v>
      </c>
      <c r="H172" s="3">
        <v>5</v>
      </c>
      <c r="I172" s="3">
        <v>7</v>
      </c>
      <c r="K172" s="3">
        <v>2</v>
      </c>
      <c r="L172" s="3">
        <v>3</v>
      </c>
      <c r="N172" s="21">
        <f t="shared" si="19"/>
        <v>149</v>
      </c>
      <c r="P172" s="17">
        <f>12+30</f>
        <v>42</v>
      </c>
      <c r="R172" s="3">
        <v>4</v>
      </c>
    </row>
    <row r="173" spans="2:16" ht="12" customHeight="1">
      <c r="B173" s="14" t="s">
        <v>68</v>
      </c>
      <c r="C173" s="3">
        <f t="shared" si="17"/>
        <v>138</v>
      </c>
      <c r="D173" s="3">
        <v>77</v>
      </c>
      <c r="E173" s="3">
        <v>61</v>
      </c>
      <c r="G173" s="3">
        <v>1</v>
      </c>
      <c r="H173" s="3">
        <v>16</v>
      </c>
      <c r="I173" s="3">
        <v>1</v>
      </c>
      <c r="J173" s="3">
        <v>1</v>
      </c>
      <c r="L173" s="3">
        <v>4</v>
      </c>
      <c r="N173" s="21">
        <f t="shared" si="19"/>
        <v>113</v>
      </c>
      <c r="P173" s="17">
        <f>22+3</f>
        <v>25</v>
      </c>
    </row>
    <row r="174" spans="2:16" ht="12" customHeight="1">
      <c r="B174" s="14" t="s">
        <v>69</v>
      </c>
      <c r="C174" s="3">
        <f t="shared" si="17"/>
        <v>42</v>
      </c>
      <c r="D174" s="3">
        <v>9</v>
      </c>
      <c r="E174" s="3">
        <v>33</v>
      </c>
      <c r="I174" s="3">
        <v>2</v>
      </c>
      <c r="K174" s="3">
        <v>3</v>
      </c>
      <c r="N174" s="21">
        <f t="shared" si="19"/>
        <v>32</v>
      </c>
      <c r="P174" s="17">
        <v>10</v>
      </c>
    </row>
    <row r="175" spans="2:18" ht="12" customHeight="1">
      <c r="B175" s="14" t="s">
        <v>70</v>
      </c>
      <c r="C175" s="3">
        <f t="shared" si="17"/>
        <v>175</v>
      </c>
      <c r="D175" s="3">
        <v>110</v>
      </c>
      <c r="E175" s="3">
        <v>65</v>
      </c>
      <c r="H175" s="3">
        <v>5</v>
      </c>
      <c r="I175" s="3">
        <v>6</v>
      </c>
      <c r="K175" s="3">
        <v>2</v>
      </c>
      <c r="L175" s="3">
        <v>2</v>
      </c>
      <c r="N175" s="21">
        <f t="shared" si="19"/>
        <v>117</v>
      </c>
      <c r="P175" s="17">
        <f>37+21</f>
        <v>58</v>
      </c>
      <c r="R175" s="3">
        <f>18+11</f>
        <v>29</v>
      </c>
    </row>
    <row r="176" spans="2:16" ht="12" customHeight="1">
      <c r="B176" s="14" t="s">
        <v>71</v>
      </c>
      <c r="C176" s="3">
        <f t="shared" si="17"/>
        <v>108</v>
      </c>
      <c r="D176" s="3">
        <v>68</v>
      </c>
      <c r="E176" s="3">
        <v>40</v>
      </c>
      <c r="I176" s="3">
        <v>1</v>
      </c>
      <c r="K176" s="3">
        <v>3</v>
      </c>
      <c r="L176" s="3">
        <v>3</v>
      </c>
      <c r="N176" s="21">
        <f t="shared" si="19"/>
        <v>49</v>
      </c>
      <c r="P176" s="17">
        <f>38+21</f>
        <v>59</v>
      </c>
    </row>
    <row r="177" spans="2:16" ht="12" customHeight="1">
      <c r="B177" s="14" t="s">
        <v>72</v>
      </c>
      <c r="C177" s="3">
        <f t="shared" si="17"/>
        <v>88</v>
      </c>
      <c r="D177" s="3">
        <v>47</v>
      </c>
      <c r="E177" s="3">
        <v>41</v>
      </c>
      <c r="I177" s="3">
        <v>4</v>
      </c>
      <c r="K177" s="3">
        <v>3</v>
      </c>
      <c r="L177" s="3">
        <v>1</v>
      </c>
      <c r="N177" s="21">
        <f t="shared" si="19"/>
        <v>77</v>
      </c>
      <c r="P177" s="17">
        <v>11</v>
      </c>
    </row>
    <row r="178" spans="2:16" ht="12" customHeight="1">
      <c r="B178" s="14" t="s">
        <v>73</v>
      </c>
      <c r="C178" s="3">
        <f t="shared" si="17"/>
        <v>24</v>
      </c>
      <c r="D178" s="3">
        <v>15</v>
      </c>
      <c r="E178" s="3">
        <v>9</v>
      </c>
      <c r="I178" s="3">
        <v>1</v>
      </c>
      <c r="N178" s="21">
        <f t="shared" si="19"/>
        <v>22</v>
      </c>
      <c r="P178" s="17">
        <v>2</v>
      </c>
    </row>
    <row r="179" spans="2:16" ht="12" customHeight="1">
      <c r="B179" s="14" t="s">
        <v>74</v>
      </c>
      <c r="C179" s="3">
        <f t="shared" si="17"/>
        <v>61</v>
      </c>
      <c r="D179" s="3">
        <v>30</v>
      </c>
      <c r="E179" s="3">
        <v>31</v>
      </c>
      <c r="G179" s="3">
        <v>1</v>
      </c>
      <c r="H179" s="3">
        <v>2</v>
      </c>
      <c r="I179" s="3">
        <v>2</v>
      </c>
      <c r="K179" s="3">
        <v>3</v>
      </c>
      <c r="N179" s="21">
        <f t="shared" si="19"/>
        <v>49</v>
      </c>
      <c r="P179" s="17">
        <v>12</v>
      </c>
    </row>
    <row r="180" spans="2:16" ht="12" customHeight="1">
      <c r="B180" s="14" t="s">
        <v>75</v>
      </c>
      <c r="C180" s="3">
        <f t="shared" si="17"/>
        <v>21</v>
      </c>
      <c r="D180" s="3">
        <v>16</v>
      </c>
      <c r="E180" s="3">
        <v>5</v>
      </c>
      <c r="G180" s="3">
        <v>1</v>
      </c>
      <c r="K180" s="3">
        <v>2</v>
      </c>
      <c r="N180" s="21">
        <f t="shared" si="19"/>
        <v>14</v>
      </c>
      <c r="P180" s="17">
        <v>7</v>
      </c>
    </row>
    <row r="181" spans="2:18" ht="12" customHeight="1">
      <c r="B181" s="14" t="s">
        <v>76</v>
      </c>
      <c r="C181" s="3">
        <f aca="true" t="shared" si="20" ref="C181:C200">D181+E181</f>
        <v>88</v>
      </c>
      <c r="D181" s="3">
        <v>69</v>
      </c>
      <c r="E181" s="3">
        <v>19</v>
      </c>
      <c r="H181" s="3">
        <v>2</v>
      </c>
      <c r="I181" s="3">
        <v>3</v>
      </c>
      <c r="K181" s="3">
        <v>3</v>
      </c>
      <c r="L181" s="3">
        <v>1</v>
      </c>
      <c r="N181" s="21">
        <f t="shared" si="19"/>
        <v>56</v>
      </c>
      <c r="P181" s="17">
        <f>21+11</f>
        <v>32</v>
      </c>
      <c r="R181" s="3">
        <v>10</v>
      </c>
    </row>
    <row r="182" spans="2:18" ht="12" customHeight="1">
      <c r="B182" s="14" t="s">
        <v>77</v>
      </c>
      <c r="C182" s="3">
        <f t="shared" si="20"/>
        <v>236</v>
      </c>
      <c r="D182" s="3">
        <v>156</v>
      </c>
      <c r="E182" s="3">
        <v>80</v>
      </c>
      <c r="G182" s="3">
        <v>1</v>
      </c>
      <c r="H182" s="3">
        <v>13</v>
      </c>
      <c r="I182" s="3">
        <v>7</v>
      </c>
      <c r="K182" s="3">
        <v>12</v>
      </c>
      <c r="L182" s="3">
        <v>3</v>
      </c>
      <c r="N182" s="21">
        <f t="shared" si="19"/>
        <v>179</v>
      </c>
      <c r="P182" s="17">
        <f>29+28</f>
        <v>57</v>
      </c>
      <c r="R182" s="3">
        <v>3</v>
      </c>
    </row>
    <row r="183" spans="2:18" ht="12" customHeight="1">
      <c r="B183" s="14" t="s">
        <v>78</v>
      </c>
      <c r="C183" s="3">
        <f t="shared" si="20"/>
        <v>88</v>
      </c>
      <c r="D183" s="3">
        <v>35</v>
      </c>
      <c r="E183" s="3">
        <v>53</v>
      </c>
      <c r="H183" s="3">
        <v>1</v>
      </c>
      <c r="I183" s="3">
        <v>2</v>
      </c>
      <c r="K183" s="3">
        <v>4</v>
      </c>
      <c r="N183" s="21">
        <f t="shared" si="19"/>
        <v>58</v>
      </c>
      <c r="P183" s="17">
        <v>30</v>
      </c>
      <c r="R183" s="3">
        <v>3</v>
      </c>
    </row>
    <row r="184" spans="2:18" ht="12" customHeight="1">
      <c r="B184" s="14" t="s">
        <v>79</v>
      </c>
      <c r="C184" s="3">
        <f t="shared" si="20"/>
        <v>29</v>
      </c>
      <c r="D184" s="3">
        <v>4</v>
      </c>
      <c r="E184" s="3">
        <v>25</v>
      </c>
      <c r="I184" s="3">
        <v>2</v>
      </c>
      <c r="K184" s="3">
        <v>3</v>
      </c>
      <c r="L184" s="3">
        <v>2</v>
      </c>
      <c r="N184" s="21">
        <f t="shared" si="19"/>
        <v>14</v>
      </c>
      <c r="P184" s="17">
        <v>15</v>
      </c>
      <c r="R184" s="3">
        <v>1</v>
      </c>
    </row>
    <row r="185" spans="2:18" ht="12" customHeight="1">
      <c r="B185" s="14" t="s">
        <v>98</v>
      </c>
      <c r="C185" s="3">
        <f t="shared" si="20"/>
        <v>154</v>
      </c>
      <c r="D185" s="3">
        <v>139</v>
      </c>
      <c r="E185" s="3">
        <v>15</v>
      </c>
      <c r="H185" s="3">
        <v>5</v>
      </c>
      <c r="I185" s="3">
        <v>9</v>
      </c>
      <c r="K185" s="3">
        <v>5</v>
      </c>
      <c r="L185" s="3">
        <v>5</v>
      </c>
      <c r="N185" s="21">
        <f t="shared" si="19"/>
        <v>104</v>
      </c>
      <c r="P185" s="17">
        <v>50</v>
      </c>
      <c r="R185" s="3">
        <v>15</v>
      </c>
    </row>
    <row r="186" spans="2:18" ht="12" customHeight="1">
      <c r="B186" s="14" t="s">
        <v>152</v>
      </c>
      <c r="C186" s="3">
        <f t="shared" si="20"/>
        <v>188</v>
      </c>
      <c r="D186" s="3">
        <v>66</v>
      </c>
      <c r="E186" s="3">
        <v>122</v>
      </c>
      <c r="G186" s="3">
        <v>1</v>
      </c>
      <c r="H186" s="3">
        <v>8</v>
      </c>
      <c r="I186" s="3">
        <v>3</v>
      </c>
      <c r="K186" s="3">
        <v>8</v>
      </c>
      <c r="L186" s="3">
        <v>4</v>
      </c>
      <c r="N186" s="21">
        <f t="shared" si="19"/>
        <v>127</v>
      </c>
      <c r="P186" s="17">
        <f>20+41</f>
        <v>61</v>
      </c>
      <c r="R186" s="3">
        <v>6</v>
      </c>
    </row>
    <row r="187" spans="2:16" ht="12" customHeight="1">
      <c r="B187" s="3" t="s">
        <v>232</v>
      </c>
      <c r="C187" s="3">
        <f t="shared" si="20"/>
        <v>66</v>
      </c>
      <c r="D187" s="3">
        <v>42</v>
      </c>
      <c r="E187" s="3">
        <v>24</v>
      </c>
      <c r="H187" s="3">
        <v>16</v>
      </c>
      <c r="I187" s="3">
        <v>1</v>
      </c>
      <c r="J187" s="3">
        <v>2</v>
      </c>
      <c r="K187" s="3">
        <v>2</v>
      </c>
      <c r="L187" s="3">
        <v>2</v>
      </c>
      <c r="N187" s="21">
        <f t="shared" si="19"/>
        <v>43</v>
      </c>
      <c r="P187" s="17">
        <v>23</v>
      </c>
    </row>
    <row r="188" spans="2:16" ht="12" customHeight="1">
      <c r="B188" s="14" t="s">
        <v>153</v>
      </c>
      <c r="C188" s="3">
        <f t="shared" si="20"/>
        <v>80</v>
      </c>
      <c r="D188" s="3">
        <v>28</v>
      </c>
      <c r="E188" s="3">
        <v>52</v>
      </c>
      <c r="H188" s="3">
        <v>5</v>
      </c>
      <c r="I188" s="3">
        <v>6</v>
      </c>
      <c r="K188" s="3">
        <v>3</v>
      </c>
      <c r="L188" s="3">
        <v>3</v>
      </c>
      <c r="N188" s="21">
        <f t="shared" si="19"/>
        <v>55</v>
      </c>
      <c r="P188" s="17">
        <f>7+18</f>
        <v>25</v>
      </c>
    </row>
    <row r="189" spans="2:16" ht="12" customHeight="1">
      <c r="B189" s="14" t="s">
        <v>80</v>
      </c>
      <c r="C189" s="3">
        <f t="shared" si="20"/>
        <v>19</v>
      </c>
      <c r="D189" s="3">
        <v>6</v>
      </c>
      <c r="E189" s="3">
        <v>13</v>
      </c>
      <c r="I189" s="3">
        <v>1</v>
      </c>
      <c r="K189" s="3">
        <v>1</v>
      </c>
      <c r="N189" s="21">
        <f t="shared" si="19"/>
        <v>17</v>
      </c>
      <c r="P189" s="17">
        <v>2</v>
      </c>
    </row>
    <row r="190" spans="2:16" ht="12" customHeight="1">
      <c r="B190" s="14" t="s">
        <v>154</v>
      </c>
      <c r="C190" s="3">
        <f t="shared" si="20"/>
        <v>54</v>
      </c>
      <c r="D190" s="3">
        <v>20</v>
      </c>
      <c r="E190" s="3">
        <v>34</v>
      </c>
      <c r="G190" s="3">
        <v>1</v>
      </c>
      <c r="H190" s="3">
        <v>6</v>
      </c>
      <c r="I190" s="3">
        <v>3</v>
      </c>
      <c r="K190" s="3">
        <v>4</v>
      </c>
      <c r="L190" s="3">
        <v>2</v>
      </c>
      <c r="N190" s="21">
        <f t="shared" si="19"/>
        <v>44</v>
      </c>
      <c r="P190" s="17">
        <v>10</v>
      </c>
    </row>
    <row r="191" spans="2:18" ht="12" customHeight="1">
      <c r="B191" s="14" t="s">
        <v>81</v>
      </c>
      <c r="C191" s="3">
        <f t="shared" si="20"/>
        <v>615</v>
      </c>
      <c r="D191" s="3">
        <v>205</v>
      </c>
      <c r="E191" s="3">
        <v>410</v>
      </c>
      <c r="H191" s="3">
        <f>14+21</f>
        <v>35</v>
      </c>
      <c r="I191" s="3">
        <v>12</v>
      </c>
      <c r="K191" s="3">
        <f>11+22</f>
        <v>33</v>
      </c>
      <c r="L191" s="3">
        <v>10</v>
      </c>
      <c r="N191" s="21">
        <f t="shared" si="19"/>
        <v>469</v>
      </c>
      <c r="P191" s="17">
        <f>33+113</f>
        <v>146</v>
      </c>
      <c r="R191" s="3">
        <v>13</v>
      </c>
    </row>
    <row r="192" spans="2:16" ht="12" customHeight="1">
      <c r="B192" s="14" t="s">
        <v>82</v>
      </c>
      <c r="C192" s="3">
        <f t="shared" si="20"/>
        <v>18</v>
      </c>
      <c r="D192" s="3">
        <v>7</v>
      </c>
      <c r="E192" s="3">
        <v>11</v>
      </c>
      <c r="K192" s="3">
        <v>2</v>
      </c>
      <c r="N192" s="21">
        <f t="shared" si="19"/>
        <v>15</v>
      </c>
      <c r="P192" s="17">
        <f>1+2</f>
        <v>3</v>
      </c>
    </row>
    <row r="193" spans="2:18" ht="12" customHeight="1">
      <c r="B193" s="14" t="s">
        <v>196</v>
      </c>
      <c r="C193" s="3">
        <f t="shared" si="20"/>
        <v>95</v>
      </c>
      <c r="D193" s="3">
        <v>40</v>
      </c>
      <c r="E193" s="3">
        <v>55</v>
      </c>
      <c r="G193" s="3">
        <v>1</v>
      </c>
      <c r="H193" s="3">
        <v>12</v>
      </c>
      <c r="I193" s="3">
        <v>4</v>
      </c>
      <c r="K193" s="3">
        <v>2</v>
      </c>
      <c r="N193" s="21">
        <f t="shared" si="19"/>
        <v>83</v>
      </c>
      <c r="P193" s="17">
        <f>5+7</f>
        <v>12</v>
      </c>
      <c r="R193" s="3">
        <v>1</v>
      </c>
    </row>
    <row r="194" spans="2:18" ht="12" customHeight="1">
      <c r="B194" s="14" t="s">
        <v>197</v>
      </c>
      <c r="C194" s="3">
        <f t="shared" si="20"/>
        <v>90</v>
      </c>
      <c r="D194" s="3">
        <v>83</v>
      </c>
      <c r="E194" s="3">
        <v>7</v>
      </c>
      <c r="H194" s="3">
        <v>4</v>
      </c>
      <c r="I194" s="3">
        <v>3</v>
      </c>
      <c r="K194" s="3">
        <v>3</v>
      </c>
      <c r="N194" s="21">
        <f t="shared" si="19"/>
        <v>70</v>
      </c>
      <c r="P194" s="17">
        <v>20</v>
      </c>
      <c r="R194" s="3">
        <v>4</v>
      </c>
    </row>
    <row r="195" spans="2:16" ht="12" customHeight="1">
      <c r="B195" s="14" t="s">
        <v>83</v>
      </c>
      <c r="C195" s="3">
        <f t="shared" si="20"/>
        <v>23</v>
      </c>
      <c r="D195" s="3">
        <v>6</v>
      </c>
      <c r="E195" s="3">
        <v>17</v>
      </c>
      <c r="K195" s="3">
        <v>3</v>
      </c>
      <c r="L195" s="3">
        <v>1</v>
      </c>
      <c r="N195" s="21">
        <f t="shared" si="19"/>
        <v>20</v>
      </c>
      <c r="P195" s="17">
        <v>3</v>
      </c>
    </row>
    <row r="196" spans="2:16" ht="12" customHeight="1">
      <c r="B196" s="14" t="s">
        <v>84</v>
      </c>
      <c r="C196" s="3">
        <f t="shared" si="20"/>
        <v>45</v>
      </c>
      <c r="D196" s="3">
        <v>23</v>
      </c>
      <c r="E196" s="3">
        <v>22</v>
      </c>
      <c r="K196" s="3">
        <v>2</v>
      </c>
      <c r="L196" s="3">
        <v>1</v>
      </c>
      <c r="N196" s="21">
        <f t="shared" si="19"/>
        <v>31</v>
      </c>
      <c r="P196" s="17">
        <f>6+8</f>
        <v>14</v>
      </c>
    </row>
    <row r="197" spans="2:18" ht="12" customHeight="1">
      <c r="B197" s="14" t="s">
        <v>85</v>
      </c>
      <c r="C197" s="3">
        <f t="shared" si="20"/>
        <v>90</v>
      </c>
      <c r="D197" s="3">
        <v>48</v>
      </c>
      <c r="E197" s="3">
        <v>42</v>
      </c>
      <c r="I197" s="3">
        <v>6</v>
      </c>
      <c r="K197" s="3">
        <v>1</v>
      </c>
      <c r="L197" s="3">
        <v>1</v>
      </c>
      <c r="N197" s="21">
        <f t="shared" si="19"/>
        <v>21</v>
      </c>
      <c r="P197" s="17">
        <f>33+36</f>
        <v>69</v>
      </c>
      <c r="R197" s="3">
        <f>31+34</f>
        <v>65</v>
      </c>
    </row>
    <row r="198" spans="2:16" ht="12" customHeight="1">
      <c r="B198" s="14" t="s">
        <v>99</v>
      </c>
      <c r="C198" s="3">
        <f t="shared" si="20"/>
        <v>27</v>
      </c>
      <c r="D198" s="3">
        <v>9</v>
      </c>
      <c r="E198" s="3">
        <v>18</v>
      </c>
      <c r="H198" s="3">
        <v>1</v>
      </c>
      <c r="I198" s="3">
        <v>2</v>
      </c>
      <c r="N198" s="21">
        <f t="shared" si="19"/>
        <v>24</v>
      </c>
      <c r="P198" s="17">
        <v>3</v>
      </c>
    </row>
    <row r="199" spans="2:16" ht="12" customHeight="1">
      <c r="B199" s="14" t="s">
        <v>86</v>
      </c>
      <c r="C199" s="3">
        <f t="shared" si="20"/>
        <v>7</v>
      </c>
      <c r="D199" s="3">
        <v>0</v>
      </c>
      <c r="E199" s="3">
        <v>7</v>
      </c>
      <c r="I199" s="3">
        <v>1</v>
      </c>
      <c r="N199" s="21">
        <f t="shared" si="19"/>
        <v>7</v>
      </c>
      <c r="P199" s="17"/>
    </row>
    <row r="200" spans="2:16" ht="12" customHeight="1">
      <c r="B200" s="14" t="s">
        <v>198</v>
      </c>
      <c r="C200" s="3">
        <f t="shared" si="20"/>
        <v>58</v>
      </c>
      <c r="D200" s="3">
        <v>15</v>
      </c>
      <c r="E200" s="3">
        <v>43</v>
      </c>
      <c r="H200" s="3">
        <v>1</v>
      </c>
      <c r="I200" s="3">
        <v>1</v>
      </c>
      <c r="K200" s="3">
        <v>8</v>
      </c>
      <c r="L200" s="3">
        <v>2</v>
      </c>
      <c r="N200" s="21">
        <f t="shared" si="19"/>
        <v>46</v>
      </c>
      <c r="P200" s="3">
        <v>12</v>
      </c>
    </row>
    <row r="202" spans="1:18" ht="12.75">
      <c r="A202" s="9" t="s">
        <v>4</v>
      </c>
      <c r="C202" s="3">
        <f>SUM(C148:C201)</f>
        <v>6384</v>
      </c>
      <c r="D202" s="3">
        <f>SUM(D148:D201)</f>
        <v>3189</v>
      </c>
      <c r="E202" s="3">
        <f aca="true" t="shared" si="21" ref="E202:L202">SUM(E148:E200)</f>
        <v>3195</v>
      </c>
      <c r="F202" s="3">
        <f t="shared" si="21"/>
        <v>0</v>
      </c>
      <c r="G202" s="3">
        <f t="shared" si="21"/>
        <v>20</v>
      </c>
      <c r="H202" s="3">
        <f t="shared" si="21"/>
        <v>261</v>
      </c>
      <c r="I202" s="3">
        <f t="shared" si="21"/>
        <v>217</v>
      </c>
      <c r="J202" s="3">
        <f t="shared" si="21"/>
        <v>5</v>
      </c>
      <c r="K202" s="3">
        <f t="shared" si="21"/>
        <v>258</v>
      </c>
      <c r="L202" s="3">
        <f t="shared" si="21"/>
        <v>113</v>
      </c>
      <c r="N202" s="21">
        <f>SUM(N148:N201)</f>
        <v>4565</v>
      </c>
      <c r="P202" s="3">
        <f>SUM(P148:P200)</f>
        <v>1819</v>
      </c>
      <c r="R202" s="3">
        <f>SUM(R148:R200)</f>
        <v>429</v>
      </c>
    </row>
    <row r="204" spans="1:18" ht="12.75">
      <c r="A204" s="2" t="s">
        <v>237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7"/>
      <c r="O204" s="2"/>
      <c r="P204" s="2"/>
      <c r="Q204" s="2"/>
      <c r="R204" s="2"/>
    </row>
    <row r="206" spans="7:18" ht="12.75">
      <c r="G206" s="28" t="s">
        <v>1</v>
      </c>
      <c r="H206" s="28"/>
      <c r="I206" s="28"/>
      <c r="J206" s="28"/>
      <c r="K206" s="28"/>
      <c r="L206" s="28"/>
      <c r="P206" s="5" t="s">
        <v>2</v>
      </c>
      <c r="R206" s="5" t="s">
        <v>3</v>
      </c>
    </row>
    <row r="207" spans="3:18" ht="12.75">
      <c r="C207" s="7" t="s">
        <v>4</v>
      </c>
      <c r="D207" s="7" t="s">
        <v>5</v>
      </c>
      <c r="E207" s="7" t="s">
        <v>6</v>
      </c>
      <c r="F207" s="6"/>
      <c r="G207" s="7" t="s">
        <v>7</v>
      </c>
      <c r="H207" s="7" t="s">
        <v>8</v>
      </c>
      <c r="I207" s="7" t="s">
        <v>9</v>
      </c>
      <c r="J207" s="7">
        <v>5</v>
      </c>
      <c r="K207" s="7">
        <v>6</v>
      </c>
      <c r="L207" s="7">
        <v>7</v>
      </c>
      <c r="M207" s="6"/>
      <c r="N207" s="25" t="s">
        <v>10</v>
      </c>
      <c r="O207" s="6"/>
      <c r="P207" s="8" t="s">
        <v>11</v>
      </c>
      <c r="Q207" s="6"/>
      <c r="R207" s="8" t="s">
        <v>12</v>
      </c>
    </row>
    <row r="209" spans="1:18" ht="12.75">
      <c r="A209" s="9" t="s">
        <v>90</v>
      </c>
      <c r="C209" s="3">
        <f aca="true" t="shared" si="22" ref="C209:N209">C40+C63+C90+C113+C139+C202</f>
        <v>24343</v>
      </c>
      <c r="D209" s="3">
        <f t="shared" si="22"/>
        <v>13697</v>
      </c>
      <c r="E209" s="3">
        <f t="shared" si="22"/>
        <v>10646</v>
      </c>
      <c r="F209" s="3">
        <f t="shared" si="22"/>
        <v>0</v>
      </c>
      <c r="G209" s="3">
        <f t="shared" si="22"/>
        <v>47</v>
      </c>
      <c r="H209" s="3">
        <f t="shared" si="22"/>
        <v>637</v>
      </c>
      <c r="I209" s="3">
        <f t="shared" si="22"/>
        <v>657</v>
      </c>
      <c r="J209" s="3">
        <f t="shared" si="22"/>
        <v>14</v>
      </c>
      <c r="K209" s="3">
        <f t="shared" si="22"/>
        <v>882</v>
      </c>
      <c r="L209" s="3">
        <f t="shared" si="22"/>
        <v>307</v>
      </c>
      <c r="M209" s="3">
        <f t="shared" si="22"/>
        <v>0</v>
      </c>
      <c r="N209" s="21">
        <f t="shared" si="22"/>
        <v>16552</v>
      </c>
      <c r="P209" s="3">
        <f>P40+P63+P90+P113+P139+P202</f>
        <v>7791</v>
      </c>
      <c r="R209" s="3">
        <f>R40+R63+R90+R113+R139+R202</f>
        <v>1894</v>
      </c>
    </row>
    <row r="216" spans="1:3" ht="12.75">
      <c r="A216" s="9" t="s">
        <v>91</v>
      </c>
      <c r="B216" s="11"/>
      <c r="C216" s="11"/>
    </row>
    <row r="217" spans="2:3" ht="12.75">
      <c r="B217" s="9" t="s">
        <v>92</v>
      </c>
      <c r="C217" s="11"/>
    </row>
    <row r="218" spans="2:3" ht="12.75">
      <c r="B218" s="9" t="s">
        <v>93</v>
      </c>
      <c r="C218" s="11"/>
    </row>
    <row r="219" spans="2:3" ht="12.75">
      <c r="B219" s="9" t="s">
        <v>218</v>
      </c>
      <c r="C219" s="11"/>
    </row>
    <row r="220" spans="2:3" ht="12.75">
      <c r="B220" s="9" t="s">
        <v>219</v>
      </c>
      <c r="C220" s="11"/>
    </row>
    <row r="221" spans="2:3" ht="12.75">
      <c r="B221" s="9" t="s">
        <v>220</v>
      </c>
      <c r="C221" s="11"/>
    </row>
    <row r="222" spans="2:3" ht="12.75">
      <c r="B222" s="20" t="s">
        <v>221</v>
      </c>
      <c r="C222" s="11"/>
    </row>
    <row r="223" spans="2:3" ht="12.75">
      <c r="B223" s="11"/>
      <c r="C223" s="11"/>
    </row>
    <row r="224" spans="1:3" ht="12.75">
      <c r="A224" s="9" t="s">
        <v>94</v>
      </c>
      <c r="B224" s="11"/>
      <c r="C224" s="11"/>
    </row>
    <row r="226" ht="12.75">
      <c r="A226" s="16"/>
    </row>
    <row r="227" ht="12.75">
      <c r="A227" s="17"/>
    </row>
  </sheetData>
  <sheetProtection/>
  <mergeCells count="8">
    <mergeCell ref="G116:L116"/>
    <mergeCell ref="G146:L146"/>
    <mergeCell ref="G206:L206"/>
    <mergeCell ref="A3:R3"/>
    <mergeCell ref="G6:L6"/>
    <mergeCell ref="G48:L48"/>
    <mergeCell ref="G67:L67"/>
    <mergeCell ref="G96:L96"/>
  </mergeCells>
  <printOptions horizontalCentered="1"/>
  <pageMargins left="0.4" right="0.4" top="0.75" bottom="0.5" header="0.5" footer="0.5"/>
  <pageSetup fitToHeight="0" horizontalDpi="300" verticalDpi="300" orientation="portrait" scale="89" r:id="rId1"/>
  <headerFooter alignWithMargins="0">
    <oddHeader>&amp;R&amp;"Times New Roman,Regular"Page &amp;P</oddHeader>
  </headerFooter>
  <rowBreaks count="4" manualBreakCount="4">
    <brk id="45" max="16" man="1"/>
    <brk id="93" max="16" man="1"/>
    <brk id="143" max="16" man="1"/>
    <brk id="20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T49"/>
  <sheetViews>
    <sheetView showGridLines="0" zoomScaleSheetLayoutView="100" zoomScalePageLayoutView="0" workbookViewId="0" topLeftCell="A1">
      <selection activeCell="T1" sqref="T1:T16384"/>
    </sheetView>
  </sheetViews>
  <sheetFormatPr defaultColWidth="9.7109375" defaultRowHeight="12.75"/>
  <cols>
    <col min="1" max="1" width="3.140625" style="3" customWidth="1"/>
    <col min="2" max="2" width="36.57421875" style="3" customWidth="1"/>
    <col min="3" max="4" width="5.7109375" style="3" customWidth="1"/>
    <col min="5" max="5" width="7.28125" style="3" customWidth="1"/>
    <col min="6" max="6" width="1.1484375" style="3" customWidth="1"/>
    <col min="7" max="7" width="3.7109375" style="3" customWidth="1"/>
    <col min="8" max="11" width="4.28125" style="3" customWidth="1"/>
    <col min="12" max="12" width="4.57421875" style="3" customWidth="1"/>
    <col min="13" max="13" width="1.1484375" style="3" customWidth="1"/>
    <col min="14" max="14" width="5.7109375" style="3" customWidth="1"/>
    <col min="15" max="15" width="2.7109375" style="3" customWidth="1"/>
    <col min="16" max="16" width="5.140625" style="3" customWidth="1"/>
    <col min="17" max="17" width="2.7109375" style="3" customWidth="1"/>
    <col min="18" max="18" width="4.7109375" style="3" customWidth="1"/>
    <col min="19" max="19" width="2.28125" style="3" customWidth="1"/>
    <col min="20" max="16384" width="9.7109375" style="3" customWidth="1"/>
  </cols>
  <sheetData>
    <row r="1" spans="1:19" ht="15.75">
      <c r="A1" s="1" t="s">
        <v>237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>
      <c r="A2" s="1" t="s">
        <v>126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5" spans="7:18" ht="12.75">
      <c r="G5" s="28" t="s">
        <v>1</v>
      </c>
      <c r="H5" s="28"/>
      <c r="I5" s="28"/>
      <c r="J5" s="28"/>
      <c r="K5" s="28"/>
      <c r="L5" s="28"/>
      <c r="P5" s="5" t="s">
        <v>2</v>
      </c>
      <c r="R5" s="5" t="s">
        <v>3</v>
      </c>
    </row>
    <row r="6" spans="1:18" ht="12.75">
      <c r="A6" s="4" t="s">
        <v>87</v>
      </c>
      <c r="B6" s="6"/>
      <c r="C6" s="7" t="s">
        <v>4</v>
      </c>
      <c r="D6" s="7" t="s">
        <v>5</v>
      </c>
      <c r="E6" s="7" t="s">
        <v>6</v>
      </c>
      <c r="F6" s="6"/>
      <c r="G6" s="7" t="s">
        <v>7</v>
      </c>
      <c r="H6" s="7" t="s">
        <v>8</v>
      </c>
      <c r="I6" s="7" t="s">
        <v>9</v>
      </c>
      <c r="J6" s="7">
        <v>5</v>
      </c>
      <c r="K6" s="7">
        <v>6</v>
      </c>
      <c r="L6" s="7">
        <v>7</v>
      </c>
      <c r="M6" s="6"/>
      <c r="N6" s="8" t="s">
        <v>10</v>
      </c>
      <c r="O6" s="6"/>
      <c r="P6" s="8" t="s">
        <v>11</v>
      </c>
      <c r="Q6" s="6"/>
      <c r="R6" s="8" t="s">
        <v>12</v>
      </c>
    </row>
    <row r="7" spans="2:20" ht="12" customHeight="1">
      <c r="B7" s="9" t="s">
        <v>88</v>
      </c>
      <c r="C7" s="3">
        <f>D7+E7</f>
        <v>1</v>
      </c>
      <c r="D7" s="3">
        <v>0</v>
      </c>
      <c r="E7" s="3">
        <v>1</v>
      </c>
      <c r="N7" s="19">
        <f>(C7-P7)</f>
        <v>0</v>
      </c>
      <c r="P7" s="3">
        <v>1</v>
      </c>
      <c r="T7" s="21"/>
    </row>
    <row r="8" spans="2:20" ht="12" customHeight="1">
      <c r="B8" s="9" t="s">
        <v>89</v>
      </c>
      <c r="C8" s="3">
        <f>D8+E8</f>
        <v>537</v>
      </c>
      <c r="D8" s="3">
        <v>155</v>
      </c>
      <c r="E8" s="3">
        <v>382</v>
      </c>
      <c r="G8" s="3">
        <v>2</v>
      </c>
      <c r="H8" s="3">
        <v>1</v>
      </c>
      <c r="I8" s="3">
        <v>4</v>
      </c>
      <c r="K8" s="3">
        <v>8</v>
      </c>
      <c r="L8" s="3">
        <v>1</v>
      </c>
      <c r="N8" s="19">
        <f>(C8-P8)</f>
        <v>260</v>
      </c>
      <c r="P8" s="3">
        <f>61+216</f>
        <v>277</v>
      </c>
      <c r="R8" s="3">
        <v>5</v>
      </c>
      <c r="T8" s="21"/>
    </row>
    <row r="9" spans="2:20" ht="12" customHeight="1">
      <c r="B9" s="9" t="s">
        <v>156</v>
      </c>
      <c r="C9" s="3">
        <f>D9+E9</f>
        <v>49</v>
      </c>
      <c r="D9" s="3">
        <v>16</v>
      </c>
      <c r="E9" s="3">
        <v>33</v>
      </c>
      <c r="I9" s="3">
        <v>1</v>
      </c>
      <c r="L9" s="3">
        <v>1</v>
      </c>
      <c r="N9" s="19">
        <f>(C9-P9)</f>
        <v>0</v>
      </c>
      <c r="P9" s="3">
        <f>16+33</f>
        <v>49</v>
      </c>
      <c r="T9" s="21"/>
    </row>
    <row r="10" ht="12.75">
      <c r="T10" s="21"/>
    </row>
    <row r="11" spans="1:20" ht="12.75">
      <c r="A11" s="9" t="s">
        <v>4</v>
      </c>
      <c r="C11" s="3">
        <f>SUM(C7:C9)</f>
        <v>587</v>
      </c>
      <c r="D11" s="3">
        <f aca="true" t="shared" si="0" ref="D11:R11">SUM(D7:D9)</f>
        <v>171</v>
      </c>
      <c r="E11" s="3">
        <f t="shared" si="0"/>
        <v>416</v>
      </c>
      <c r="F11" s="3">
        <f t="shared" si="0"/>
        <v>0</v>
      </c>
      <c r="G11" s="3">
        <f t="shared" si="0"/>
        <v>2</v>
      </c>
      <c r="H11" s="3">
        <f t="shared" si="0"/>
        <v>1</v>
      </c>
      <c r="I11" s="3">
        <f t="shared" si="0"/>
        <v>5</v>
      </c>
      <c r="J11" s="3">
        <f t="shared" si="0"/>
        <v>0</v>
      </c>
      <c r="K11" s="3">
        <f t="shared" si="0"/>
        <v>8</v>
      </c>
      <c r="L11" s="3">
        <f t="shared" si="0"/>
        <v>2</v>
      </c>
      <c r="M11" s="3">
        <f t="shared" si="0"/>
        <v>0</v>
      </c>
      <c r="N11" s="3">
        <f t="shared" si="0"/>
        <v>260</v>
      </c>
      <c r="P11" s="3">
        <f t="shared" si="0"/>
        <v>327</v>
      </c>
      <c r="R11" s="3">
        <f t="shared" si="0"/>
        <v>5</v>
      </c>
      <c r="T11" s="21"/>
    </row>
    <row r="21" spans="1:3" ht="12.75">
      <c r="A21" s="9" t="s">
        <v>91</v>
      </c>
      <c r="B21" s="11"/>
      <c r="C21" s="11"/>
    </row>
    <row r="22" spans="2:3" ht="12.75">
      <c r="B22" s="9" t="s">
        <v>92</v>
      </c>
      <c r="C22" s="11"/>
    </row>
    <row r="23" spans="2:3" ht="12.75">
      <c r="B23" s="9" t="s">
        <v>93</v>
      </c>
      <c r="C23" s="11"/>
    </row>
    <row r="24" spans="2:3" ht="12.75">
      <c r="B24" s="9" t="s">
        <v>218</v>
      </c>
      <c r="C24" s="11"/>
    </row>
    <row r="25" spans="2:3" ht="12.75">
      <c r="B25" s="9" t="s">
        <v>219</v>
      </c>
      <c r="C25" s="11"/>
    </row>
    <row r="26" spans="2:3" ht="12.75">
      <c r="B26" s="9" t="s">
        <v>220</v>
      </c>
      <c r="C26" s="11"/>
    </row>
    <row r="27" spans="2:3" ht="12.75">
      <c r="B27" s="20" t="s">
        <v>221</v>
      </c>
      <c r="C27" s="11"/>
    </row>
    <row r="28" spans="2:3" ht="12.75">
      <c r="B28" s="11"/>
      <c r="C28" s="11"/>
    </row>
    <row r="29" spans="1:3" ht="12.75">
      <c r="A29" s="9" t="s">
        <v>94</v>
      </c>
      <c r="B29" s="11"/>
      <c r="C29" s="11"/>
    </row>
    <row r="48" ht="12.75">
      <c r="A48" s="9"/>
    </row>
    <row r="49" ht="12.75">
      <c r="A49" s="9"/>
    </row>
  </sheetData>
  <sheetProtection/>
  <mergeCells count="1">
    <mergeCell ref="G5:L5"/>
  </mergeCells>
  <printOptions horizontalCentered="1"/>
  <pageMargins left="0.4" right="0.4" top="0.75" bottom="0.5" header="0.5" footer="0.5"/>
  <pageSetup fitToHeight="0" horizontalDpi="300" verticalDpi="3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S159"/>
  <sheetViews>
    <sheetView showGridLines="0" zoomScaleSheetLayoutView="120" zoomScalePageLayoutView="0" workbookViewId="0" topLeftCell="A1">
      <selection activeCell="A1" sqref="A1"/>
    </sheetView>
  </sheetViews>
  <sheetFormatPr defaultColWidth="9.7109375" defaultRowHeight="12.75"/>
  <cols>
    <col min="1" max="1" width="1.7109375" style="3" customWidth="1"/>
    <col min="2" max="2" width="39.00390625" style="3" customWidth="1"/>
    <col min="3" max="3" width="5.00390625" style="3" customWidth="1"/>
    <col min="4" max="4" width="5.7109375" style="3" customWidth="1"/>
    <col min="5" max="5" width="6.7109375" style="3" customWidth="1"/>
    <col min="6" max="6" width="0.9921875" style="3" customWidth="1"/>
    <col min="7" max="7" width="3.7109375" style="3" customWidth="1"/>
    <col min="8" max="8" width="4.140625" style="3" customWidth="1"/>
    <col min="9" max="12" width="3.7109375" style="3" customWidth="1"/>
    <col min="13" max="13" width="2.7109375" style="3" customWidth="1"/>
    <col min="14" max="14" width="4.7109375" style="21" customWidth="1"/>
    <col min="15" max="15" width="3.7109375" style="3" customWidth="1"/>
    <col min="16" max="16" width="4.7109375" style="3" customWidth="1"/>
    <col min="17" max="17" width="3.7109375" style="3" customWidth="1"/>
    <col min="18" max="18" width="4.7109375" style="3" customWidth="1"/>
    <col min="19" max="19" width="2.28125" style="3" customWidth="1"/>
    <col min="20" max="16384" width="9.7109375" style="3" customWidth="1"/>
  </cols>
  <sheetData>
    <row r="1" spans="1:19" ht="15.75">
      <c r="A1" s="1" t="s">
        <v>237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4"/>
      <c r="O1" s="1"/>
      <c r="P1" s="1"/>
      <c r="Q1" s="1"/>
      <c r="R1" s="1"/>
      <c r="S1" s="1"/>
    </row>
    <row r="2" spans="1:19" ht="16.5" customHeight="1">
      <c r="A2" s="1" t="s">
        <v>100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4"/>
      <c r="O2" s="1"/>
      <c r="P2" s="1"/>
      <c r="Q2" s="1"/>
      <c r="R2" s="1"/>
      <c r="S2" s="1"/>
    </row>
    <row r="3" spans="1:19" ht="12.75">
      <c r="A3" s="30" t="s">
        <v>236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5" spans="7:18" ht="12.75">
      <c r="G5" s="28" t="s">
        <v>1</v>
      </c>
      <c r="H5" s="28"/>
      <c r="I5" s="28"/>
      <c r="J5" s="28"/>
      <c r="K5" s="28"/>
      <c r="L5" s="28"/>
      <c r="P5" s="5" t="s">
        <v>2</v>
      </c>
      <c r="R5" s="5" t="s">
        <v>3</v>
      </c>
    </row>
    <row r="6" spans="1:18" ht="12.75">
      <c r="A6" s="4" t="s">
        <v>223</v>
      </c>
      <c r="B6" s="6"/>
      <c r="C6" s="7" t="s">
        <v>4</v>
      </c>
      <c r="D6" s="7" t="s">
        <v>5</v>
      </c>
      <c r="E6" s="7" t="s">
        <v>6</v>
      </c>
      <c r="F6" s="6"/>
      <c r="G6" s="7" t="s">
        <v>7</v>
      </c>
      <c r="H6" s="7" t="s">
        <v>8</v>
      </c>
      <c r="I6" s="7" t="s">
        <v>9</v>
      </c>
      <c r="J6" s="7">
        <v>5</v>
      </c>
      <c r="K6" s="7">
        <v>6</v>
      </c>
      <c r="L6" s="7">
        <v>7</v>
      </c>
      <c r="M6" s="6"/>
      <c r="N6" s="25" t="s">
        <v>10</v>
      </c>
      <c r="O6" s="6"/>
      <c r="P6" s="8" t="s">
        <v>11</v>
      </c>
      <c r="Q6" s="6"/>
      <c r="R6" s="8" t="s">
        <v>12</v>
      </c>
    </row>
    <row r="7" spans="1:18" ht="12.75">
      <c r="A7" s="9"/>
      <c r="B7" s="3" t="s">
        <v>242</v>
      </c>
      <c r="C7" s="3">
        <f aca="true" t="shared" si="0" ref="C7:C22">D7+E7</f>
        <v>27</v>
      </c>
      <c r="D7" s="3">
        <v>16</v>
      </c>
      <c r="E7" s="3">
        <v>11</v>
      </c>
      <c r="G7" s="12"/>
      <c r="H7" s="12">
        <v>3</v>
      </c>
      <c r="I7" s="12">
        <v>1</v>
      </c>
      <c r="J7" s="12"/>
      <c r="K7" s="12"/>
      <c r="L7" s="12"/>
      <c r="N7" s="21">
        <f aca="true" t="shared" si="1" ref="N7:N22">(C7-P7)</f>
        <v>16</v>
      </c>
      <c r="P7" s="12">
        <v>11</v>
      </c>
      <c r="R7" s="19">
        <v>3</v>
      </c>
    </row>
    <row r="8" spans="2:18" ht="12" customHeight="1">
      <c r="B8" s="9" t="s">
        <v>199</v>
      </c>
      <c r="C8" s="3">
        <f t="shared" si="0"/>
        <v>44</v>
      </c>
      <c r="D8" s="3">
        <v>15</v>
      </c>
      <c r="E8" s="3">
        <v>29</v>
      </c>
      <c r="H8" s="3">
        <v>3</v>
      </c>
      <c r="N8" s="21">
        <f t="shared" si="1"/>
        <v>20</v>
      </c>
      <c r="P8" s="3">
        <v>24</v>
      </c>
      <c r="R8" s="3">
        <v>3</v>
      </c>
    </row>
    <row r="9" spans="2:18" ht="12" customHeight="1">
      <c r="B9" s="9" t="s">
        <v>16</v>
      </c>
      <c r="C9" s="3">
        <f t="shared" si="0"/>
        <v>226</v>
      </c>
      <c r="D9" s="3">
        <v>150</v>
      </c>
      <c r="E9" s="3">
        <v>76</v>
      </c>
      <c r="H9" s="3">
        <v>3</v>
      </c>
      <c r="I9" s="3">
        <v>3</v>
      </c>
      <c r="K9" s="3">
        <v>4</v>
      </c>
      <c r="L9" s="3">
        <v>2</v>
      </c>
      <c r="N9" s="21">
        <f t="shared" si="1"/>
        <v>79</v>
      </c>
      <c r="P9" s="3">
        <f>96+51</f>
        <v>147</v>
      </c>
      <c r="R9" s="3">
        <f>31+16</f>
        <v>47</v>
      </c>
    </row>
    <row r="10" spans="2:18" ht="12" customHeight="1">
      <c r="B10" s="9" t="s">
        <v>18</v>
      </c>
      <c r="C10" s="3">
        <f t="shared" si="0"/>
        <v>73</v>
      </c>
      <c r="D10" s="3">
        <v>36</v>
      </c>
      <c r="E10" s="3">
        <v>37</v>
      </c>
      <c r="H10" s="3">
        <v>4</v>
      </c>
      <c r="K10" s="3">
        <v>2</v>
      </c>
      <c r="N10" s="21">
        <f t="shared" si="1"/>
        <v>25</v>
      </c>
      <c r="P10" s="3">
        <f>21+27</f>
        <v>48</v>
      </c>
      <c r="R10" s="3">
        <f>12+13</f>
        <v>25</v>
      </c>
    </row>
    <row r="11" spans="2:18" ht="12" customHeight="1">
      <c r="B11" s="9" t="s">
        <v>108</v>
      </c>
      <c r="C11" s="3">
        <f t="shared" si="0"/>
        <v>25</v>
      </c>
      <c r="D11" s="3">
        <v>18</v>
      </c>
      <c r="E11" s="3">
        <v>7</v>
      </c>
      <c r="L11" s="3">
        <v>1</v>
      </c>
      <c r="N11" s="21">
        <f t="shared" si="1"/>
        <v>6</v>
      </c>
      <c r="P11" s="3">
        <v>19</v>
      </c>
      <c r="R11" s="3">
        <v>16</v>
      </c>
    </row>
    <row r="12" spans="2:18" ht="12" customHeight="1">
      <c r="B12" s="9" t="s">
        <v>200</v>
      </c>
      <c r="C12" s="3">
        <f t="shared" si="0"/>
        <v>22</v>
      </c>
      <c r="D12" s="3">
        <v>9</v>
      </c>
      <c r="E12" s="3">
        <v>13</v>
      </c>
      <c r="I12" s="3">
        <v>1</v>
      </c>
      <c r="K12" s="3">
        <v>2</v>
      </c>
      <c r="N12" s="22">
        <f t="shared" si="1"/>
        <v>5</v>
      </c>
      <c r="P12" s="3">
        <f>7+10</f>
        <v>17</v>
      </c>
      <c r="R12" s="3">
        <v>4</v>
      </c>
    </row>
    <row r="13" spans="2:18" ht="12" customHeight="1">
      <c r="B13" s="9" t="s">
        <v>201</v>
      </c>
      <c r="C13" s="3">
        <f t="shared" si="0"/>
        <v>37</v>
      </c>
      <c r="D13" s="3">
        <v>25</v>
      </c>
      <c r="E13" s="3">
        <v>12</v>
      </c>
      <c r="L13" s="3">
        <v>1</v>
      </c>
      <c r="N13" s="21">
        <f t="shared" si="1"/>
        <v>4</v>
      </c>
      <c r="P13" s="3">
        <f>23+10</f>
        <v>33</v>
      </c>
      <c r="R13" s="3">
        <v>25</v>
      </c>
    </row>
    <row r="14" spans="2:18" ht="12" customHeight="1">
      <c r="B14" s="9" t="s">
        <v>20</v>
      </c>
      <c r="C14" s="3">
        <f t="shared" si="0"/>
        <v>22</v>
      </c>
      <c r="D14" s="3">
        <v>15</v>
      </c>
      <c r="E14" s="3">
        <v>7</v>
      </c>
      <c r="N14" s="21">
        <f t="shared" si="1"/>
        <v>10</v>
      </c>
      <c r="P14" s="3">
        <v>12</v>
      </c>
      <c r="R14" s="3">
        <v>2</v>
      </c>
    </row>
    <row r="15" spans="2:18" ht="12" customHeight="1">
      <c r="B15" s="9" t="s">
        <v>202</v>
      </c>
      <c r="C15" s="3">
        <f t="shared" si="0"/>
        <v>11</v>
      </c>
      <c r="D15" s="3">
        <v>6</v>
      </c>
      <c r="E15" s="3">
        <v>5</v>
      </c>
      <c r="H15" s="3">
        <v>1</v>
      </c>
      <c r="I15" s="3">
        <v>1</v>
      </c>
      <c r="K15" s="3">
        <v>1</v>
      </c>
      <c r="N15" s="21">
        <f t="shared" si="1"/>
        <v>5</v>
      </c>
      <c r="P15" s="3">
        <v>6</v>
      </c>
      <c r="R15" s="3">
        <v>3</v>
      </c>
    </row>
    <row r="16" spans="2:18" ht="12" customHeight="1">
      <c r="B16" s="9" t="s">
        <v>203</v>
      </c>
      <c r="C16" s="3">
        <f t="shared" si="0"/>
        <v>16</v>
      </c>
      <c r="D16" s="3">
        <v>9</v>
      </c>
      <c r="E16" s="3">
        <v>7</v>
      </c>
      <c r="N16" s="21">
        <f t="shared" si="1"/>
        <v>1</v>
      </c>
      <c r="P16" s="3">
        <v>15</v>
      </c>
      <c r="R16" s="3">
        <v>13</v>
      </c>
    </row>
    <row r="17" spans="2:18" ht="12" customHeight="1">
      <c r="B17" s="9" t="s">
        <v>24</v>
      </c>
      <c r="C17" s="3">
        <f t="shared" si="0"/>
        <v>16</v>
      </c>
      <c r="D17" s="3">
        <v>8</v>
      </c>
      <c r="E17" s="3">
        <v>8</v>
      </c>
      <c r="N17" s="21">
        <f t="shared" si="1"/>
        <v>6</v>
      </c>
      <c r="P17" s="3">
        <v>10</v>
      </c>
      <c r="R17" s="3">
        <v>5</v>
      </c>
    </row>
    <row r="18" spans="2:18" ht="12" customHeight="1">
      <c r="B18" s="9" t="s">
        <v>25</v>
      </c>
      <c r="C18" s="3">
        <f t="shared" si="0"/>
        <v>5</v>
      </c>
      <c r="D18" s="3">
        <v>2</v>
      </c>
      <c r="E18" s="3">
        <v>3</v>
      </c>
      <c r="L18" s="3">
        <v>1</v>
      </c>
      <c r="N18" s="21">
        <f t="shared" si="1"/>
        <v>2</v>
      </c>
      <c r="P18" s="3">
        <v>3</v>
      </c>
      <c r="R18" s="3">
        <v>1</v>
      </c>
    </row>
    <row r="19" spans="2:18" ht="12" customHeight="1">
      <c r="B19" s="9" t="s">
        <v>128</v>
      </c>
      <c r="C19" s="3">
        <f t="shared" si="0"/>
        <v>35</v>
      </c>
      <c r="D19" s="3">
        <v>24</v>
      </c>
      <c r="E19" s="3">
        <v>11</v>
      </c>
      <c r="N19" s="21">
        <f t="shared" si="1"/>
        <v>11</v>
      </c>
      <c r="P19" s="3">
        <v>24</v>
      </c>
      <c r="R19" s="3">
        <v>4</v>
      </c>
    </row>
    <row r="20" spans="2:18" ht="12" customHeight="1">
      <c r="B20" s="9" t="s">
        <v>243</v>
      </c>
      <c r="C20" s="3">
        <f t="shared" si="0"/>
        <v>29</v>
      </c>
      <c r="D20" s="3">
        <v>13</v>
      </c>
      <c r="E20" s="3">
        <v>16</v>
      </c>
      <c r="H20" s="3">
        <v>1</v>
      </c>
      <c r="I20" s="3">
        <v>1</v>
      </c>
      <c r="N20" s="21">
        <f t="shared" si="1"/>
        <v>6</v>
      </c>
      <c r="P20" s="3">
        <v>23</v>
      </c>
      <c r="R20" s="3">
        <v>12</v>
      </c>
    </row>
    <row r="21" spans="2:16" ht="12" customHeight="1">
      <c r="B21" s="9" t="s">
        <v>26</v>
      </c>
      <c r="C21" s="3">
        <f t="shared" si="0"/>
        <v>20</v>
      </c>
      <c r="D21" s="3">
        <v>12</v>
      </c>
      <c r="E21" s="3">
        <v>8</v>
      </c>
      <c r="N21" s="21">
        <f t="shared" si="1"/>
        <v>11</v>
      </c>
      <c r="P21" s="3">
        <v>9</v>
      </c>
    </row>
    <row r="22" spans="2:18" ht="12" customHeight="1">
      <c r="B22" s="9" t="s">
        <v>204</v>
      </c>
      <c r="C22" s="3">
        <f t="shared" si="0"/>
        <v>19</v>
      </c>
      <c r="D22" s="3">
        <v>8</v>
      </c>
      <c r="E22" s="3">
        <v>11</v>
      </c>
      <c r="H22" s="3">
        <v>1</v>
      </c>
      <c r="K22" s="3">
        <v>1</v>
      </c>
      <c r="N22" s="21">
        <f t="shared" si="1"/>
        <v>5</v>
      </c>
      <c r="P22" s="3">
        <v>14</v>
      </c>
      <c r="R22" s="3">
        <v>5</v>
      </c>
    </row>
    <row r="24" spans="1:18" ht="12.75">
      <c r="A24" s="9" t="s">
        <v>4</v>
      </c>
      <c r="C24" s="3">
        <f>SUM(C7:C22)</f>
        <v>627</v>
      </c>
      <c r="D24" s="3">
        <f aca="true" t="shared" si="2" ref="D24:L24">SUM(D7:D22)</f>
        <v>366</v>
      </c>
      <c r="E24" s="3">
        <f t="shared" si="2"/>
        <v>261</v>
      </c>
      <c r="F24" s="3">
        <f t="shared" si="2"/>
        <v>0</v>
      </c>
      <c r="G24" s="3">
        <f t="shared" si="2"/>
        <v>0</v>
      </c>
      <c r="H24" s="3">
        <f t="shared" si="2"/>
        <v>16</v>
      </c>
      <c r="I24" s="3">
        <f t="shared" si="2"/>
        <v>7</v>
      </c>
      <c r="J24" s="3">
        <f t="shared" si="2"/>
        <v>0</v>
      </c>
      <c r="K24" s="3">
        <f t="shared" si="2"/>
        <v>10</v>
      </c>
      <c r="L24" s="3">
        <f t="shared" si="2"/>
        <v>5</v>
      </c>
      <c r="N24" s="21">
        <f>SUM(N7:N22)</f>
        <v>212</v>
      </c>
      <c r="P24" s="3">
        <f>SUM(P7:P22)</f>
        <v>415</v>
      </c>
      <c r="R24" s="3">
        <f>SUM(R7:R22)</f>
        <v>168</v>
      </c>
    </row>
    <row r="26" ht="12.75">
      <c r="A26" s="17"/>
    </row>
    <row r="27" spans="7:18" ht="12.75">
      <c r="G27" s="28" t="s">
        <v>1</v>
      </c>
      <c r="H27" s="28"/>
      <c r="I27" s="28"/>
      <c r="J27" s="28"/>
      <c r="K27" s="28"/>
      <c r="L27" s="28"/>
      <c r="P27" s="5" t="s">
        <v>2</v>
      </c>
      <c r="R27" s="5" t="s">
        <v>3</v>
      </c>
    </row>
    <row r="28" spans="1:18" ht="12.75">
      <c r="A28" s="4" t="s">
        <v>27</v>
      </c>
      <c r="C28" s="7" t="s">
        <v>4</v>
      </c>
      <c r="D28" s="7" t="s">
        <v>5</v>
      </c>
      <c r="E28" s="7" t="s">
        <v>6</v>
      </c>
      <c r="F28" s="6"/>
      <c r="G28" s="7" t="s">
        <v>7</v>
      </c>
      <c r="H28" s="7" t="s">
        <v>8</v>
      </c>
      <c r="I28" s="7" t="s">
        <v>9</v>
      </c>
      <c r="J28" s="7">
        <v>5</v>
      </c>
      <c r="K28" s="7">
        <v>6</v>
      </c>
      <c r="L28" s="7">
        <v>7</v>
      </c>
      <c r="M28" s="6"/>
      <c r="N28" s="25" t="s">
        <v>10</v>
      </c>
      <c r="O28" s="6"/>
      <c r="P28" s="8" t="s">
        <v>11</v>
      </c>
      <c r="Q28" s="6"/>
      <c r="R28" s="8" t="s">
        <v>12</v>
      </c>
    </row>
    <row r="29" spans="1:18" ht="12.75">
      <c r="A29" s="4"/>
      <c r="B29" s="3" t="s">
        <v>29</v>
      </c>
      <c r="C29" s="3">
        <f>D29+E29</f>
        <v>57</v>
      </c>
      <c r="D29" s="3">
        <v>18</v>
      </c>
      <c r="E29" s="3">
        <v>39</v>
      </c>
      <c r="H29" s="3">
        <v>1</v>
      </c>
      <c r="K29" s="3">
        <v>1</v>
      </c>
      <c r="N29" s="21">
        <f>(C29-P29)</f>
        <v>32</v>
      </c>
      <c r="P29" s="3">
        <f>4+21</f>
        <v>25</v>
      </c>
      <c r="R29" s="3">
        <v>23</v>
      </c>
    </row>
    <row r="30" spans="2:18" ht="12" customHeight="1">
      <c r="B30" s="9" t="s">
        <v>101</v>
      </c>
      <c r="C30" s="3">
        <f>D30+E30</f>
        <v>179</v>
      </c>
      <c r="D30" s="3">
        <v>118</v>
      </c>
      <c r="E30" s="3">
        <v>61</v>
      </c>
      <c r="H30" s="3">
        <v>2</v>
      </c>
      <c r="I30" s="3">
        <v>5</v>
      </c>
      <c r="K30" s="3">
        <v>4</v>
      </c>
      <c r="L30" s="3">
        <v>1</v>
      </c>
      <c r="N30" s="21">
        <f>(C30-P30)</f>
        <v>124</v>
      </c>
      <c r="P30" s="3">
        <f>31+24</f>
        <v>55</v>
      </c>
      <c r="R30" s="3">
        <v>41</v>
      </c>
    </row>
    <row r="31" spans="2:18" ht="12" customHeight="1">
      <c r="B31" s="3" t="s">
        <v>224</v>
      </c>
      <c r="C31" s="3">
        <f>D31+E31</f>
        <v>22</v>
      </c>
      <c r="D31" s="3">
        <v>14</v>
      </c>
      <c r="E31" s="3">
        <v>8</v>
      </c>
      <c r="N31" s="21">
        <f>(C31-P31)</f>
        <v>6</v>
      </c>
      <c r="P31" s="3">
        <v>16</v>
      </c>
      <c r="R31" s="3">
        <v>14</v>
      </c>
    </row>
    <row r="33" spans="1:18" ht="12.75">
      <c r="A33" s="9" t="s">
        <v>4</v>
      </c>
      <c r="C33" s="3">
        <f>SUM(C29:C31)</f>
        <v>258</v>
      </c>
      <c r="D33" s="3">
        <f>SUM(D29:D31)</f>
        <v>150</v>
      </c>
      <c r="E33" s="3">
        <f>SUM(E29:E31)</f>
        <v>108</v>
      </c>
      <c r="F33" s="3">
        <f aca="true" t="shared" si="3" ref="F33:L33">SUM(F29:F30)</f>
        <v>0</v>
      </c>
      <c r="G33" s="3">
        <f t="shared" si="3"/>
        <v>0</v>
      </c>
      <c r="H33" s="3">
        <f t="shared" si="3"/>
        <v>3</v>
      </c>
      <c r="I33" s="3">
        <f t="shared" si="3"/>
        <v>5</v>
      </c>
      <c r="J33" s="3">
        <f t="shared" si="3"/>
        <v>0</v>
      </c>
      <c r="K33" s="3">
        <f t="shared" si="3"/>
        <v>5</v>
      </c>
      <c r="L33" s="3">
        <f t="shared" si="3"/>
        <v>1</v>
      </c>
      <c r="N33" s="21">
        <f>SUM(N29:N31)</f>
        <v>162</v>
      </c>
      <c r="P33" s="3">
        <f>SUM(P29:P31)</f>
        <v>96</v>
      </c>
      <c r="R33" s="3">
        <f>SUM(R29:R31)</f>
        <v>78</v>
      </c>
    </row>
    <row r="34" ht="12.75">
      <c r="A34" s="9"/>
    </row>
    <row r="35" ht="12.75">
      <c r="A35" s="9"/>
    </row>
    <row r="37" spans="7:18" ht="12.75">
      <c r="G37" s="28" t="s">
        <v>1</v>
      </c>
      <c r="H37" s="28"/>
      <c r="I37" s="28"/>
      <c r="J37" s="28"/>
      <c r="K37" s="28"/>
      <c r="L37" s="28"/>
      <c r="P37" s="5" t="s">
        <v>2</v>
      </c>
      <c r="R37" s="5" t="s">
        <v>3</v>
      </c>
    </row>
    <row r="38" spans="1:18" ht="12.75">
      <c r="A38" s="4" t="s">
        <v>34</v>
      </c>
      <c r="B38" s="6"/>
      <c r="C38" s="7" t="s">
        <v>4</v>
      </c>
      <c r="D38" s="7" t="s">
        <v>5</v>
      </c>
      <c r="E38" s="7" t="s">
        <v>6</v>
      </c>
      <c r="F38" s="6"/>
      <c r="G38" s="7" t="s">
        <v>7</v>
      </c>
      <c r="H38" s="7" t="s">
        <v>8</v>
      </c>
      <c r="I38" s="7" t="s">
        <v>9</v>
      </c>
      <c r="J38" s="7">
        <v>5</v>
      </c>
      <c r="K38" s="7">
        <v>6</v>
      </c>
      <c r="L38" s="7">
        <v>7</v>
      </c>
      <c r="M38" s="6"/>
      <c r="N38" s="25" t="s">
        <v>10</v>
      </c>
      <c r="O38" s="6"/>
      <c r="P38" s="8" t="s">
        <v>11</v>
      </c>
      <c r="Q38" s="6"/>
      <c r="R38" s="8" t="s">
        <v>12</v>
      </c>
    </row>
    <row r="39" spans="2:18" ht="12" customHeight="1">
      <c r="B39" s="9" t="s">
        <v>102</v>
      </c>
      <c r="C39" s="3">
        <f>D39+E39</f>
        <v>48</v>
      </c>
      <c r="D39" s="3">
        <v>28</v>
      </c>
      <c r="E39" s="3">
        <v>20</v>
      </c>
      <c r="K39" s="3">
        <v>3</v>
      </c>
      <c r="L39" s="3">
        <v>1</v>
      </c>
      <c r="N39" s="21">
        <f>(C39-P39)</f>
        <v>22</v>
      </c>
      <c r="P39" s="3">
        <v>26</v>
      </c>
      <c r="R39" s="3">
        <v>12</v>
      </c>
    </row>
    <row r="40" spans="2:18" ht="12" customHeight="1">
      <c r="B40" s="9" t="s">
        <v>36</v>
      </c>
      <c r="C40" s="3">
        <f>D40+E40</f>
        <v>67</v>
      </c>
      <c r="D40" s="3">
        <v>21</v>
      </c>
      <c r="E40" s="3">
        <v>46</v>
      </c>
      <c r="H40" s="3">
        <v>2</v>
      </c>
      <c r="I40" s="3">
        <v>1</v>
      </c>
      <c r="K40" s="3">
        <v>4</v>
      </c>
      <c r="N40" s="21">
        <f>(C40-P40)</f>
        <v>43</v>
      </c>
      <c r="P40" s="3">
        <v>24</v>
      </c>
      <c r="R40" s="3">
        <v>19</v>
      </c>
    </row>
    <row r="41" spans="2:18" ht="12" customHeight="1">
      <c r="B41" s="9" t="s">
        <v>37</v>
      </c>
      <c r="C41" s="3">
        <f>D41+E41</f>
        <v>32</v>
      </c>
      <c r="D41" s="3">
        <v>20</v>
      </c>
      <c r="E41" s="3">
        <v>12</v>
      </c>
      <c r="H41" s="3">
        <v>2</v>
      </c>
      <c r="I41" s="3">
        <v>1</v>
      </c>
      <c r="N41" s="21">
        <f>(C41-P41)</f>
        <v>15</v>
      </c>
      <c r="P41" s="3">
        <v>17</v>
      </c>
      <c r="R41" s="3">
        <v>7</v>
      </c>
    </row>
    <row r="42" spans="2:18" ht="12" customHeight="1">
      <c r="B42" s="9" t="s">
        <v>40</v>
      </c>
      <c r="C42" s="3">
        <f>D42+E42</f>
        <v>11</v>
      </c>
      <c r="D42" s="3">
        <v>5</v>
      </c>
      <c r="E42" s="3">
        <v>6</v>
      </c>
      <c r="K42" s="3">
        <v>1</v>
      </c>
      <c r="L42" s="3">
        <v>1</v>
      </c>
      <c r="N42" s="21">
        <f>(C42-P42)</f>
        <v>7</v>
      </c>
      <c r="P42" s="3">
        <v>4</v>
      </c>
      <c r="R42" s="3">
        <v>2</v>
      </c>
    </row>
    <row r="44" spans="1:18" ht="12.75">
      <c r="A44" s="9" t="s">
        <v>4</v>
      </c>
      <c r="C44" s="3">
        <f>SUM(C39:C42)</f>
        <v>158</v>
      </c>
      <c r="D44" s="3">
        <f>SUM(D39:D42)</f>
        <v>74</v>
      </c>
      <c r="E44" s="3">
        <f>SUM(E39:E42)</f>
        <v>84</v>
      </c>
      <c r="G44" s="3">
        <f aca="true" t="shared" si="4" ref="G44:L44">SUM(G39:G42)</f>
        <v>0</v>
      </c>
      <c r="H44" s="3">
        <f t="shared" si="4"/>
        <v>4</v>
      </c>
      <c r="I44" s="3">
        <f t="shared" si="4"/>
        <v>2</v>
      </c>
      <c r="J44" s="3">
        <f t="shared" si="4"/>
        <v>0</v>
      </c>
      <c r="K44" s="3">
        <f t="shared" si="4"/>
        <v>8</v>
      </c>
      <c r="L44" s="3">
        <f t="shared" si="4"/>
        <v>2</v>
      </c>
      <c r="N44" s="21">
        <f>SUM(N39:N42)</f>
        <v>87</v>
      </c>
      <c r="P44" s="3">
        <f>SUM(P39:P42)</f>
        <v>71</v>
      </c>
      <c r="R44" s="3">
        <f>SUM(R39:R42)</f>
        <v>40</v>
      </c>
    </row>
    <row r="48" spans="1:19" ht="12.75">
      <c r="A48" s="31" t="s">
        <v>237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26"/>
      <c r="O49" s="5"/>
      <c r="P49" s="5"/>
      <c r="Q49" s="5"/>
      <c r="R49" s="5"/>
      <c r="S49" s="5"/>
    </row>
    <row r="50" spans="1:19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26"/>
      <c r="O50" s="5"/>
      <c r="P50" s="5"/>
      <c r="Q50" s="5"/>
      <c r="R50" s="5"/>
      <c r="S50" s="5"/>
    </row>
    <row r="51" spans="7:18" ht="12.75">
      <c r="G51" s="28" t="s">
        <v>1</v>
      </c>
      <c r="H51" s="28"/>
      <c r="I51" s="28"/>
      <c r="J51" s="28"/>
      <c r="K51" s="28"/>
      <c r="L51" s="28"/>
      <c r="P51" s="5" t="s">
        <v>2</v>
      </c>
      <c r="R51" s="5" t="s">
        <v>3</v>
      </c>
    </row>
    <row r="52" spans="1:18" ht="12.75">
      <c r="A52" s="4" t="s">
        <v>45</v>
      </c>
      <c r="B52" s="6"/>
      <c r="C52" s="7" t="s">
        <v>4</v>
      </c>
      <c r="D52" s="7" t="s">
        <v>5</v>
      </c>
      <c r="E52" s="7" t="s">
        <v>6</v>
      </c>
      <c r="F52" s="6"/>
      <c r="G52" s="7" t="s">
        <v>7</v>
      </c>
      <c r="H52" s="7" t="s">
        <v>8</v>
      </c>
      <c r="I52" s="7" t="s">
        <v>9</v>
      </c>
      <c r="J52" s="7">
        <v>5</v>
      </c>
      <c r="K52" s="7">
        <v>6</v>
      </c>
      <c r="L52" s="7">
        <v>7</v>
      </c>
      <c r="M52" s="6"/>
      <c r="N52" s="25" t="s">
        <v>10</v>
      </c>
      <c r="O52" s="6"/>
      <c r="P52" s="8" t="s">
        <v>11</v>
      </c>
      <c r="Q52" s="6"/>
      <c r="R52" s="8" t="s">
        <v>12</v>
      </c>
    </row>
    <row r="53" spans="2:18" ht="12" customHeight="1">
      <c r="B53" s="9" t="s">
        <v>46</v>
      </c>
      <c r="C53" s="3">
        <f aca="true" t="shared" si="5" ref="C53:C61">D53+E53</f>
        <v>54</v>
      </c>
      <c r="D53" s="3">
        <v>45</v>
      </c>
      <c r="E53" s="3">
        <v>9</v>
      </c>
      <c r="H53" s="3">
        <v>2</v>
      </c>
      <c r="N53" s="21">
        <f aca="true" t="shared" si="6" ref="N53:N61">(C53-P53)</f>
        <v>14</v>
      </c>
      <c r="P53" s="3">
        <f>33+7</f>
        <v>40</v>
      </c>
      <c r="R53" s="3">
        <f>22+6</f>
        <v>28</v>
      </c>
    </row>
    <row r="54" spans="2:18" ht="12" customHeight="1">
      <c r="B54" s="9" t="s">
        <v>234</v>
      </c>
      <c r="C54" s="3">
        <f t="shared" si="5"/>
        <v>53</v>
      </c>
      <c r="D54" s="3">
        <v>38</v>
      </c>
      <c r="E54" s="3">
        <v>15</v>
      </c>
      <c r="G54" s="3">
        <v>1</v>
      </c>
      <c r="H54" s="3">
        <v>1</v>
      </c>
      <c r="I54" s="3">
        <v>2</v>
      </c>
      <c r="N54" s="21">
        <f t="shared" si="6"/>
        <v>18</v>
      </c>
      <c r="P54" s="3">
        <f>23+12</f>
        <v>35</v>
      </c>
      <c r="R54" s="3">
        <f>13+9</f>
        <v>22</v>
      </c>
    </row>
    <row r="55" spans="2:18" ht="12" customHeight="1">
      <c r="B55" s="9" t="s">
        <v>155</v>
      </c>
      <c r="C55" s="3">
        <f t="shared" si="5"/>
        <v>54</v>
      </c>
      <c r="D55" s="3">
        <v>37</v>
      </c>
      <c r="E55" s="3">
        <v>17</v>
      </c>
      <c r="I55" s="3">
        <v>1</v>
      </c>
      <c r="L55" s="3">
        <v>1</v>
      </c>
      <c r="N55" s="21">
        <f t="shared" si="6"/>
        <v>6</v>
      </c>
      <c r="P55" s="3">
        <f>33+15</f>
        <v>48</v>
      </c>
      <c r="R55" s="3">
        <f>18+11</f>
        <v>29</v>
      </c>
    </row>
    <row r="56" spans="2:18" ht="12" customHeight="1">
      <c r="B56" s="9" t="s">
        <v>205</v>
      </c>
      <c r="C56" s="3">
        <f t="shared" si="5"/>
        <v>134</v>
      </c>
      <c r="D56" s="3">
        <v>102</v>
      </c>
      <c r="E56" s="3">
        <v>32</v>
      </c>
      <c r="H56" s="3">
        <v>3</v>
      </c>
      <c r="K56" s="3">
        <v>3</v>
      </c>
      <c r="N56" s="21">
        <f t="shared" si="6"/>
        <v>34</v>
      </c>
      <c r="P56" s="3">
        <v>100</v>
      </c>
      <c r="R56" s="3">
        <f>45+19</f>
        <v>64</v>
      </c>
    </row>
    <row r="57" spans="2:18" ht="12" customHeight="1">
      <c r="B57" s="9" t="s">
        <v>206</v>
      </c>
      <c r="C57" s="3">
        <f t="shared" si="5"/>
        <v>324</v>
      </c>
      <c r="D57" s="3">
        <v>271</v>
      </c>
      <c r="E57" s="3">
        <v>53</v>
      </c>
      <c r="H57" s="3">
        <v>10</v>
      </c>
      <c r="I57" s="3">
        <v>10</v>
      </c>
      <c r="K57" s="3">
        <v>1</v>
      </c>
      <c r="N57" s="21">
        <f t="shared" si="6"/>
        <v>61</v>
      </c>
      <c r="P57" s="3">
        <f>214+49</f>
        <v>263</v>
      </c>
      <c r="R57" s="3">
        <f>165+40</f>
        <v>205</v>
      </c>
    </row>
    <row r="58" spans="2:18" ht="12" customHeight="1">
      <c r="B58" s="9" t="s">
        <v>207</v>
      </c>
      <c r="C58" s="3">
        <f t="shared" si="5"/>
        <v>85</v>
      </c>
      <c r="D58" s="3">
        <v>64</v>
      </c>
      <c r="E58" s="3">
        <v>21</v>
      </c>
      <c r="H58" s="3">
        <v>6</v>
      </c>
      <c r="I58" s="3">
        <v>3</v>
      </c>
      <c r="K58" s="3">
        <v>1</v>
      </c>
      <c r="N58" s="21">
        <f t="shared" si="6"/>
        <v>30</v>
      </c>
      <c r="P58" s="3">
        <f>39+16</f>
        <v>55</v>
      </c>
      <c r="R58" s="3">
        <f>23+13</f>
        <v>36</v>
      </c>
    </row>
    <row r="59" spans="2:18" ht="12" customHeight="1">
      <c r="B59" s="9" t="s">
        <v>106</v>
      </c>
      <c r="C59" s="3">
        <f t="shared" si="5"/>
        <v>81</v>
      </c>
      <c r="D59" s="3">
        <v>59</v>
      </c>
      <c r="E59" s="3">
        <v>22</v>
      </c>
      <c r="H59" s="3">
        <v>1</v>
      </c>
      <c r="K59" s="3">
        <v>1</v>
      </c>
      <c r="N59" s="21">
        <f t="shared" si="6"/>
        <v>26</v>
      </c>
      <c r="P59" s="3">
        <f>38+17</f>
        <v>55</v>
      </c>
      <c r="R59" s="3">
        <f>31+14</f>
        <v>45</v>
      </c>
    </row>
    <row r="60" spans="2:18" ht="12" customHeight="1">
      <c r="B60" s="9" t="s">
        <v>54</v>
      </c>
      <c r="C60" s="3">
        <f t="shared" si="5"/>
        <v>178</v>
      </c>
      <c r="D60" s="3">
        <v>150</v>
      </c>
      <c r="E60" s="3">
        <v>28</v>
      </c>
      <c r="H60" s="3">
        <v>3</v>
      </c>
      <c r="I60" s="3">
        <v>5</v>
      </c>
      <c r="L60" s="3">
        <v>2</v>
      </c>
      <c r="N60" s="21">
        <f t="shared" si="6"/>
        <v>67</v>
      </c>
      <c r="P60" s="3">
        <f>95+16</f>
        <v>111</v>
      </c>
      <c r="R60" s="3">
        <f>54+12</f>
        <v>66</v>
      </c>
    </row>
    <row r="61" spans="2:18" ht="12" customHeight="1">
      <c r="B61" s="9" t="s">
        <v>107</v>
      </c>
      <c r="C61" s="3">
        <f t="shared" si="5"/>
        <v>34</v>
      </c>
      <c r="D61" s="3">
        <v>30</v>
      </c>
      <c r="E61" s="3">
        <v>4</v>
      </c>
      <c r="H61" s="3">
        <v>5</v>
      </c>
      <c r="I61" s="3">
        <v>2</v>
      </c>
      <c r="K61" s="3">
        <v>4</v>
      </c>
      <c r="L61" s="3">
        <v>2</v>
      </c>
      <c r="N61" s="21">
        <f t="shared" si="6"/>
        <v>19</v>
      </c>
      <c r="P61" s="3">
        <v>15</v>
      </c>
      <c r="R61" s="3">
        <v>1</v>
      </c>
    </row>
    <row r="63" spans="1:18" ht="12.75">
      <c r="A63" s="9" t="s">
        <v>4</v>
      </c>
      <c r="C63" s="3">
        <f>SUM(C53:C61)</f>
        <v>997</v>
      </c>
      <c r="D63" s="3">
        <f>SUM(D53:D61)</f>
        <v>796</v>
      </c>
      <c r="E63" s="3">
        <f>SUM(E53:E61)</f>
        <v>201</v>
      </c>
      <c r="G63" s="3">
        <f aca="true" t="shared" si="7" ref="G63:L63">SUM(G53:G61)</f>
        <v>1</v>
      </c>
      <c r="H63" s="3">
        <f>SUM(H53:H61)</f>
        <v>31</v>
      </c>
      <c r="I63" s="3">
        <f t="shared" si="7"/>
        <v>23</v>
      </c>
      <c r="J63" s="3">
        <f t="shared" si="7"/>
        <v>0</v>
      </c>
      <c r="K63" s="3">
        <f t="shared" si="7"/>
        <v>10</v>
      </c>
      <c r="L63" s="3">
        <f t="shared" si="7"/>
        <v>5</v>
      </c>
      <c r="N63" s="21">
        <f>SUM(N53:N61)</f>
        <v>275</v>
      </c>
      <c r="P63" s="3">
        <f>SUM(P53:P61)</f>
        <v>722</v>
      </c>
      <c r="R63" s="3">
        <f>SUM(R53:R61)</f>
        <v>496</v>
      </c>
    </row>
    <row r="67" spans="7:18" ht="12.75">
      <c r="G67" s="28" t="s">
        <v>1</v>
      </c>
      <c r="H67" s="28"/>
      <c r="I67" s="28"/>
      <c r="J67" s="28"/>
      <c r="K67" s="28"/>
      <c r="L67" s="28"/>
      <c r="P67" s="5" t="s">
        <v>2</v>
      </c>
      <c r="R67" s="5" t="s">
        <v>3</v>
      </c>
    </row>
    <row r="68" spans="1:18" ht="12.75">
      <c r="A68" s="4" t="s">
        <v>148</v>
      </c>
      <c r="B68" s="6"/>
      <c r="C68" s="7" t="s">
        <v>4</v>
      </c>
      <c r="D68" s="7" t="s">
        <v>5</v>
      </c>
      <c r="E68" s="7" t="s">
        <v>6</v>
      </c>
      <c r="F68" s="6"/>
      <c r="G68" s="7" t="s">
        <v>7</v>
      </c>
      <c r="H68" s="7" t="s">
        <v>8</v>
      </c>
      <c r="I68" s="7" t="s">
        <v>9</v>
      </c>
      <c r="J68" s="7">
        <v>5</v>
      </c>
      <c r="K68" s="7">
        <v>6</v>
      </c>
      <c r="L68" s="7">
        <v>7</v>
      </c>
      <c r="M68" s="6"/>
      <c r="N68" s="25" t="s">
        <v>10</v>
      </c>
      <c r="O68" s="6"/>
      <c r="P68" s="8" t="s">
        <v>11</v>
      </c>
      <c r="Q68" s="6"/>
      <c r="R68" s="8" t="s">
        <v>12</v>
      </c>
    </row>
    <row r="69" spans="1:18" ht="24" customHeight="1">
      <c r="A69" s="9"/>
      <c r="B69" s="13" t="s">
        <v>208</v>
      </c>
      <c r="C69" s="3">
        <f aca="true" t="shared" si="8" ref="C69:C75">D69+E69</f>
        <v>95</v>
      </c>
      <c r="D69" s="3">
        <v>29</v>
      </c>
      <c r="E69" s="3">
        <v>66</v>
      </c>
      <c r="H69" s="3">
        <v>6</v>
      </c>
      <c r="I69" s="3">
        <v>2</v>
      </c>
      <c r="K69" s="3">
        <v>5</v>
      </c>
      <c r="N69" s="21">
        <f aca="true" t="shared" si="9" ref="N69:N75">(C69-P69)</f>
        <v>9</v>
      </c>
      <c r="P69" s="12">
        <f>27+59</f>
        <v>86</v>
      </c>
      <c r="R69" s="12">
        <f>12+42</f>
        <v>54</v>
      </c>
    </row>
    <row r="70" spans="1:18" ht="12.75">
      <c r="A70" s="9"/>
      <c r="B70" s="9" t="s">
        <v>103</v>
      </c>
      <c r="C70" s="3">
        <f t="shared" si="8"/>
        <v>101</v>
      </c>
      <c r="D70" s="3">
        <v>26</v>
      </c>
      <c r="E70" s="3">
        <v>75</v>
      </c>
      <c r="G70" s="3">
        <v>1</v>
      </c>
      <c r="H70" s="3">
        <v>5</v>
      </c>
      <c r="L70" s="3">
        <v>2</v>
      </c>
      <c r="N70" s="21">
        <f t="shared" si="9"/>
        <v>74</v>
      </c>
      <c r="P70" s="12">
        <f>3+24</f>
        <v>27</v>
      </c>
      <c r="R70" s="12">
        <v>18</v>
      </c>
    </row>
    <row r="71" spans="1:18" ht="12.75">
      <c r="A71" s="9"/>
      <c r="B71" s="9" t="s">
        <v>104</v>
      </c>
      <c r="C71" s="3">
        <f t="shared" si="8"/>
        <v>365</v>
      </c>
      <c r="D71" s="3">
        <v>158</v>
      </c>
      <c r="E71" s="3">
        <v>207</v>
      </c>
      <c r="G71" s="3">
        <v>2</v>
      </c>
      <c r="H71" s="3">
        <v>27</v>
      </c>
      <c r="I71" s="3">
        <v>2</v>
      </c>
      <c r="K71" s="3">
        <v>15</v>
      </c>
      <c r="L71" s="3">
        <v>1</v>
      </c>
      <c r="N71" s="21">
        <f t="shared" si="9"/>
        <v>283</v>
      </c>
      <c r="P71" s="12">
        <f>40+42</f>
        <v>82</v>
      </c>
      <c r="R71" s="12">
        <v>12</v>
      </c>
    </row>
    <row r="72" spans="1:18" ht="12.75">
      <c r="A72" s="9"/>
      <c r="B72" s="9" t="s">
        <v>209</v>
      </c>
      <c r="C72" s="3">
        <f t="shared" si="8"/>
        <v>40</v>
      </c>
      <c r="D72" s="3">
        <v>8</v>
      </c>
      <c r="E72" s="3">
        <v>32</v>
      </c>
      <c r="H72" s="3">
        <v>3</v>
      </c>
      <c r="N72" s="21">
        <f t="shared" si="9"/>
        <v>26</v>
      </c>
      <c r="P72" s="12">
        <f>2+12</f>
        <v>14</v>
      </c>
      <c r="R72" s="12">
        <v>1</v>
      </c>
    </row>
    <row r="73" spans="1:18" ht="12.75">
      <c r="A73" s="9"/>
      <c r="B73" s="9" t="s">
        <v>202</v>
      </c>
      <c r="C73" s="3">
        <f t="shared" si="8"/>
        <v>87</v>
      </c>
      <c r="D73" s="3">
        <v>13</v>
      </c>
      <c r="E73" s="3">
        <v>74</v>
      </c>
      <c r="H73" s="3">
        <v>5</v>
      </c>
      <c r="I73" s="3">
        <v>3</v>
      </c>
      <c r="K73" s="3">
        <v>3</v>
      </c>
      <c r="L73" s="3">
        <v>1</v>
      </c>
      <c r="N73" s="21">
        <f t="shared" si="9"/>
        <v>17</v>
      </c>
      <c r="P73" s="12">
        <f>12+58</f>
        <v>70</v>
      </c>
      <c r="R73" s="12">
        <v>17</v>
      </c>
    </row>
    <row r="74" spans="2:18" ht="12" customHeight="1">
      <c r="B74" s="9" t="s">
        <v>210</v>
      </c>
      <c r="C74" s="3">
        <f t="shared" si="8"/>
        <v>49</v>
      </c>
      <c r="D74" s="3">
        <v>7</v>
      </c>
      <c r="E74" s="3">
        <v>42</v>
      </c>
      <c r="H74" s="3">
        <v>2</v>
      </c>
      <c r="I74" s="3">
        <v>1</v>
      </c>
      <c r="K74" s="3">
        <v>2</v>
      </c>
      <c r="N74" s="21">
        <f t="shared" si="9"/>
        <v>33</v>
      </c>
      <c r="P74" s="3">
        <f>5+11</f>
        <v>16</v>
      </c>
      <c r="R74" s="3">
        <v>6</v>
      </c>
    </row>
    <row r="75" spans="2:18" ht="12" customHeight="1">
      <c r="B75" s="3" t="s">
        <v>163</v>
      </c>
      <c r="C75" s="3">
        <f t="shared" si="8"/>
        <v>29</v>
      </c>
      <c r="D75" s="3">
        <v>12</v>
      </c>
      <c r="E75" s="3">
        <v>17</v>
      </c>
      <c r="I75" s="3">
        <v>1</v>
      </c>
      <c r="N75" s="21">
        <f t="shared" si="9"/>
        <v>14</v>
      </c>
      <c r="P75" s="3">
        <v>15</v>
      </c>
      <c r="R75" s="3">
        <v>10</v>
      </c>
    </row>
    <row r="77" spans="1:18" ht="12.75">
      <c r="A77" s="9" t="s">
        <v>4</v>
      </c>
      <c r="C77" s="3">
        <f>SUM(C69:C75)</f>
        <v>766</v>
      </c>
      <c r="D77" s="3">
        <f>SUM(D69:D75)</f>
        <v>253</v>
      </c>
      <c r="E77" s="3">
        <f>SUM(E69:E75)</f>
        <v>513</v>
      </c>
      <c r="G77" s="3">
        <f aca="true" t="shared" si="10" ref="G77:L77">SUM(G69:G75)</f>
        <v>3</v>
      </c>
      <c r="H77" s="3">
        <f t="shared" si="10"/>
        <v>48</v>
      </c>
      <c r="I77" s="3">
        <f t="shared" si="10"/>
        <v>9</v>
      </c>
      <c r="J77" s="3">
        <f t="shared" si="10"/>
        <v>0</v>
      </c>
      <c r="K77" s="3">
        <f t="shared" si="10"/>
        <v>25</v>
      </c>
      <c r="L77" s="3">
        <f t="shared" si="10"/>
        <v>4</v>
      </c>
      <c r="N77" s="21">
        <f>SUM(N69:N75)</f>
        <v>456</v>
      </c>
      <c r="P77" s="3">
        <f>SUM(P69:P75)</f>
        <v>310</v>
      </c>
      <c r="R77" s="3">
        <f>SUM(R69:R75)</f>
        <v>118</v>
      </c>
    </row>
    <row r="79" ht="12.75">
      <c r="A79" s="18"/>
    </row>
    <row r="80" spans="8:18" ht="12.75">
      <c r="H80" s="4" t="s">
        <v>1</v>
      </c>
      <c r="P80" s="5" t="s">
        <v>2</v>
      </c>
      <c r="R80" s="5" t="s">
        <v>3</v>
      </c>
    </row>
    <row r="81" spans="1:18" ht="12.75">
      <c r="A81" s="4" t="s">
        <v>55</v>
      </c>
      <c r="B81" s="6"/>
      <c r="C81" s="7" t="s">
        <v>4</v>
      </c>
      <c r="D81" s="7" t="s">
        <v>5</v>
      </c>
      <c r="E81" s="7" t="s">
        <v>6</v>
      </c>
      <c r="F81" s="6"/>
      <c r="G81" s="7" t="s">
        <v>7</v>
      </c>
      <c r="H81" s="7" t="s">
        <v>8</v>
      </c>
      <c r="I81" s="7" t="s">
        <v>9</v>
      </c>
      <c r="J81" s="7">
        <v>5</v>
      </c>
      <c r="K81" s="7">
        <v>6</v>
      </c>
      <c r="L81" s="7">
        <v>7</v>
      </c>
      <c r="M81" s="6"/>
      <c r="N81" s="25" t="s">
        <v>10</v>
      </c>
      <c r="O81" s="6"/>
      <c r="P81" s="8" t="s">
        <v>11</v>
      </c>
      <c r="Q81" s="6"/>
      <c r="R81" s="8" t="s">
        <v>12</v>
      </c>
    </row>
    <row r="82" spans="2:16" ht="12" customHeight="1">
      <c r="B82" s="9" t="s">
        <v>57</v>
      </c>
      <c r="C82" s="3">
        <f aca="true" t="shared" si="11" ref="C82:C97">D82+E82</f>
        <v>7</v>
      </c>
      <c r="D82" s="3">
        <v>3</v>
      </c>
      <c r="E82" s="3">
        <v>4</v>
      </c>
      <c r="K82" s="3">
        <v>2</v>
      </c>
      <c r="L82" s="3">
        <v>1</v>
      </c>
      <c r="N82" s="21">
        <f>(C82-P82)</f>
        <v>3</v>
      </c>
      <c r="P82" s="3">
        <v>4</v>
      </c>
    </row>
    <row r="83" spans="2:18" ht="12" customHeight="1">
      <c r="B83" s="9" t="s">
        <v>108</v>
      </c>
      <c r="C83" s="3">
        <f t="shared" si="11"/>
        <v>51</v>
      </c>
      <c r="D83" s="3">
        <v>27</v>
      </c>
      <c r="E83" s="3">
        <v>24</v>
      </c>
      <c r="N83" s="21">
        <f aca="true" t="shared" si="12" ref="N83:N97">(C83-P83)</f>
        <v>13</v>
      </c>
      <c r="P83" s="3">
        <v>38</v>
      </c>
      <c r="R83" s="3">
        <v>33</v>
      </c>
    </row>
    <row r="84" spans="2:18" ht="12" customHeight="1">
      <c r="B84" s="9" t="s">
        <v>60</v>
      </c>
      <c r="C84" s="3">
        <f t="shared" si="11"/>
        <v>194</v>
      </c>
      <c r="D84" s="3">
        <v>121</v>
      </c>
      <c r="E84" s="3">
        <v>73</v>
      </c>
      <c r="H84" s="3">
        <v>2</v>
      </c>
      <c r="I84" s="3">
        <v>2</v>
      </c>
      <c r="K84" s="3">
        <v>2</v>
      </c>
      <c r="L84" s="3">
        <v>2</v>
      </c>
      <c r="N84" s="21">
        <f t="shared" si="12"/>
        <v>16</v>
      </c>
      <c r="P84" s="3">
        <f>112+66</f>
        <v>178</v>
      </c>
      <c r="R84" s="3">
        <f>52+36</f>
        <v>88</v>
      </c>
    </row>
    <row r="85" spans="2:18" ht="12" customHeight="1">
      <c r="B85" s="9" t="s">
        <v>150</v>
      </c>
      <c r="C85" s="3">
        <f t="shared" si="11"/>
        <v>104</v>
      </c>
      <c r="D85" s="3">
        <v>83</v>
      </c>
      <c r="E85" s="3">
        <v>21</v>
      </c>
      <c r="H85" s="3">
        <v>1</v>
      </c>
      <c r="K85" s="3">
        <v>1</v>
      </c>
      <c r="L85" s="3">
        <v>1</v>
      </c>
      <c r="N85" s="21">
        <f t="shared" si="12"/>
        <v>8</v>
      </c>
      <c r="P85" s="3">
        <f>76+20</f>
        <v>96</v>
      </c>
      <c r="R85" s="3">
        <f>66+20</f>
        <v>86</v>
      </c>
    </row>
    <row r="86" spans="2:18" ht="12" customHeight="1">
      <c r="B86" s="9" t="s">
        <v>200</v>
      </c>
      <c r="C86" s="3">
        <f t="shared" si="11"/>
        <v>36</v>
      </c>
      <c r="D86" s="3">
        <v>21</v>
      </c>
      <c r="E86" s="3">
        <v>15</v>
      </c>
      <c r="G86" s="3">
        <v>1</v>
      </c>
      <c r="N86" s="21">
        <f t="shared" si="12"/>
        <v>7</v>
      </c>
      <c r="P86" s="3">
        <f>17+12</f>
        <v>29</v>
      </c>
      <c r="R86" s="3">
        <v>8</v>
      </c>
    </row>
    <row r="87" spans="2:18" ht="12" customHeight="1">
      <c r="B87" s="9" t="s">
        <v>193</v>
      </c>
      <c r="C87" s="3">
        <f t="shared" si="11"/>
        <v>53</v>
      </c>
      <c r="D87" s="3">
        <v>31</v>
      </c>
      <c r="E87" s="3">
        <v>22</v>
      </c>
      <c r="H87" s="3">
        <v>1</v>
      </c>
      <c r="N87" s="21">
        <f t="shared" si="12"/>
        <v>4</v>
      </c>
      <c r="P87" s="3">
        <f>28+21</f>
        <v>49</v>
      </c>
      <c r="R87" s="3">
        <f>21+18</f>
        <v>39</v>
      </c>
    </row>
    <row r="88" spans="2:18" ht="12" customHeight="1">
      <c r="B88" s="9" t="s">
        <v>62</v>
      </c>
      <c r="C88" s="3">
        <f t="shared" si="11"/>
        <v>134</v>
      </c>
      <c r="D88" s="3">
        <v>46</v>
      </c>
      <c r="E88" s="3">
        <v>88</v>
      </c>
      <c r="H88" s="3">
        <v>1</v>
      </c>
      <c r="I88" s="3">
        <v>1</v>
      </c>
      <c r="K88" s="3">
        <v>5</v>
      </c>
      <c r="L88" s="3">
        <v>2</v>
      </c>
      <c r="N88" s="21">
        <f t="shared" si="12"/>
        <v>40</v>
      </c>
      <c r="P88" s="3">
        <f>38+56</f>
        <v>94</v>
      </c>
      <c r="R88" s="3">
        <v>33</v>
      </c>
    </row>
    <row r="89" spans="2:18" ht="12" customHeight="1">
      <c r="B89" s="9" t="s">
        <v>203</v>
      </c>
      <c r="C89" s="3">
        <f t="shared" si="11"/>
        <v>31</v>
      </c>
      <c r="D89" s="3">
        <v>19</v>
      </c>
      <c r="E89" s="3">
        <v>12</v>
      </c>
      <c r="N89" s="21">
        <f t="shared" si="12"/>
        <v>3</v>
      </c>
      <c r="P89" s="3">
        <f>16+12</f>
        <v>28</v>
      </c>
      <c r="R89" s="3">
        <v>22</v>
      </c>
    </row>
    <row r="90" spans="2:18" ht="12" customHeight="1">
      <c r="B90" s="9" t="s">
        <v>211</v>
      </c>
      <c r="C90" s="3">
        <f t="shared" si="11"/>
        <v>37</v>
      </c>
      <c r="D90" s="3">
        <v>27</v>
      </c>
      <c r="E90" s="3">
        <v>10</v>
      </c>
      <c r="I90" s="3">
        <v>1</v>
      </c>
      <c r="N90" s="21">
        <f t="shared" si="12"/>
        <v>15</v>
      </c>
      <c r="P90" s="3">
        <f>14+8</f>
        <v>22</v>
      </c>
      <c r="R90" s="3">
        <v>3</v>
      </c>
    </row>
    <row r="91" spans="2:18" ht="12" customHeight="1">
      <c r="B91" s="9" t="s">
        <v>66</v>
      </c>
      <c r="C91" s="3">
        <f t="shared" si="11"/>
        <v>39</v>
      </c>
      <c r="D91" s="3">
        <v>26</v>
      </c>
      <c r="E91" s="3">
        <v>13</v>
      </c>
      <c r="N91" s="21">
        <f t="shared" si="12"/>
        <v>24</v>
      </c>
      <c r="P91" s="3">
        <f>6+9</f>
        <v>15</v>
      </c>
      <c r="R91" s="3">
        <v>3</v>
      </c>
    </row>
    <row r="92" spans="2:18" ht="12" customHeight="1">
      <c r="B92" s="9" t="s">
        <v>151</v>
      </c>
      <c r="C92" s="3">
        <f t="shared" si="11"/>
        <v>37</v>
      </c>
      <c r="D92" s="3">
        <v>7</v>
      </c>
      <c r="E92" s="3">
        <v>30</v>
      </c>
      <c r="H92" s="3">
        <v>2</v>
      </c>
      <c r="K92" s="3">
        <v>2</v>
      </c>
      <c r="N92" s="21">
        <f t="shared" si="12"/>
        <v>9</v>
      </c>
      <c r="P92" s="3">
        <f>3+25</f>
        <v>28</v>
      </c>
      <c r="R92" s="3">
        <v>25</v>
      </c>
    </row>
    <row r="93" spans="2:18" ht="12" customHeight="1">
      <c r="B93" s="9" t="s">
        <v>70</v>
      </c>
      <c r="C93" s="3">
        <f t="shared" si="11"/>
        <v>96</v>
      </c>
      <c r="D93" s="3">
        <v>65</v>
      </c>
      <c r="E93" s="3">
        <v>31</v>
      </c>
      <c r="H93" s="3">
        <v>2</v>
      </c>
      <c r="I93" s="3">
        <v>1</v>
      </c>
      <c r="K93" s="3">
        <v>6</v>
      </c>
      <c r="L93" s="3">
        <v>3</v>
      </c>
      <c r="N93" s="21">
        <f t="shared" si="12"/>
        <v>17</v>
      </c>
      <c r="P93" s="3">
        <f>52+27</f>
        <v>79</v>
      </c>
      <c r="R93" s="3">
        <f>25+13</f>
        <v>38</v>
      </c>
    </row>
    <row r="94" spans="2:18" ht="12" customHeight="1">
      <c r="B94" s="9" t="s">
        <v>212</v>
      </c>
      <c r="C94" s="3">
        <f t="shared" si="11"/>
        <v>83</v>
      </c>
      <c r="D94" s="3">
        <v>67</v>
      </c>
      <c r="E94" s="3">
        <v>16</v>
      </c>
      <c r="I94" s="3">
        <v>4</v>
      </c>
      <c r="K94" s="3">
        <v>1</v>
      </c>
      <c r="N94" s="21">
        <f t="shared" si="12"/>
        <v>9</v>
      </c>
      <c r="P94" s="3">
        <f>59+15</f>
        <v>74</v>
      </c>
      <c r="R94" s="3">
        <f>34+12</f>
        <v>46</v>
      </c>
    </row>
    <row r="95" spans="2:18" ht="12" customHeight="1">
      <c r="B95" s="9" t="s">
        <v>77</v>
      </c>
      <c r="C95" s="3">
        <f t="shared" si="11"/>
        <v>67</v>
      </c>
      <c r="D95" s="3">
        <v>40</v>
      </c>
      <c r="E95" s="3">
        <v>27</v>
      </c>
      <c r="H95" s="3">
        <v>2</v>
      </c>
      <c r="I95" s="3">
        <v>2</v>
      </c>
      <c r="N95" s="21">
        <f t="shared" si="12"/>
        <v>48</v>
      </c>
      <c r="P95" s="3">
        <f>10+9</f>
        <v>19</v>
      </c>
      <c r="R95" s="3">
        <v>11</v>
      </c>
    </row>
    <row r="96" spans="2:18" ht="12" customHeight="1">
      <c r="B96" s="9" t="s">
        <v>81</v>
      </c>
      <c r="C96" s="3">
        <f t="shared" si="11"/>
        <v>67</v>
      </c>
      <c r="D96" s="3">
        <v>27</v>
      </c>
      <c r="E96" s="3">
        <v>40</v>
      </c>
      <c r="H96" s="3">
        <v>3</v>
      </c>
      <c r="I96" s="3">
        <v>4</v>
      </c>
      <c r="K96" s="3">
        <v>6</v>
      </c>
      <c r="N96" s="21">
        <f t="shared" si="12"/>
        <v>15</v>
      </c>
      <c r="P96" s="3">
        <f>21+31</f>
        <v>52</v>
      </c>
      <c r="R96" s="3">
        <v>9</v>
      </c>
    </row>
    <row r="97" spans="2:18" ht="12" customHeight="1">
      <c r="B97" s="9" t="s">
        <v>196</v>
      </c>
      <c r="C97" s="3">
        <f t="shared" si="11"/>
        <v>40</v>
      </c>
      <c r="D97" s="3">
        <v>17</v>
      </c>
      <c r="E97" s="3">
        <v>23</v>
      </c>
      <c r="H97" s="3">
        <v>2</v>
      </c>
      <c r="I97" s="3">
        <v>1</v>
      </c>
      <c r="N97" s="21">
        <f t="shared" si="12"/>
        <v>17</v>
      </c>
      <c r="P97" s="3">
        <f>9+14</f>
        <v>23</v>
      </c>
      <c r="R97" s="3">
        <v>14</v>
      </c>
    </row>
    <row r="98" spans="2:18" ht="12.75">
      <c r="B98" s="3" t="s">
        <v>85</v>
      </c>
      <c r="C98" s="3">
        <f>D98+E98</f>
        <v>141</v>
      </c>
      <c r="D98" s="3">
        <v>87</v>
      </c>
      <c r="E98" s="3">
        <v>54</v>
      </c>
      <c r="H98" s="3">
        <v>11</v>
      </c>
      <c r="I98" s="3">
        <v>6</v>
      </c>
      <c r="K98" s="3">
        <v>2</v>
      </c>
      <c r="L98" s="3">
        <v>1</v>
      </c>
      <c r="N98" s="21">
        <f>(C98-P98)</f>
        <v>13</v>
      </c>
      <c r="P98" s="3">
        <f>78+50</f>
        <v>128</v>
      </c>
      <c r="R98" s="3">
        <f>32+19</f>
        <v>51</v>
      </c>
    </row>
    <row r="100" spans="1:18" ht="12.75">
      <c r="A100" s="9" t="s">
        <v>4</v>
      </c>
      <c r="C100" s="3">
        <f>SUM(C82:C98)</f>
        <v>1217</v>
      </c>
      <c r="D100" s="3">
        <f aca="true" t="shared" si="13" ref="D100:R100">SUM(D82:D98)</f>
        <v>714</v>
      </c>
      <c r="E100" s="3">
        <f t="shared" si="13"/>
        <v>503</v>
      </c>
      <c r="F100" s="3">
        <f t="shared" si="13"/>
        <v>0</v>
      </c>
      <c r="G100" s="3">
        <f t="shared" si="13"/>
        <v>1</v>
      </c>
      <c r="H100" s="3">
        <f t="shared" si="13"/>
        <v>27</v>
      </c>
      <c r="I100" s="3">
        <f t="shared" si="13"/>
        <v>22</v>
      </c>
      <c r="J100" s="3">
        <f t="shared" si="13"/>
        <v>0</v>
      </c>
      <c r="K100" s="3">
        <f t="shared" si="13"/>
        <v>27</v>
      </c>
      <c r="L100" s="3">
        <f t="shared" si="13"/>
        <v>10</v>
      </c>
      <c r="N100" s="21">
        <f t="shared" si="13"/>
        <v>261</v>
      </c>
      <c r="P100" s="3">
        <f>SUM(P82:P98)</f>
        <v>956</v>
      </c>
      <c r="R100" s="3">
        <f t="shared" si="13"/>
        <v>509</v>
      </c>
    </row>
    <row r="101" spans="1:19" ht="12.75">
      <c r="A101" s="31" t="s">
        <v>237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</row>
    <row r="102" spans="1:19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7"/>
      <c r="O102" s="2"/>
      <c r="P102" s="2"/>
      <c r="Q102" s="2"/>
      <c r="R102" s="2"/>
      <c r="S102" s="2"/>
    </row>
    <row r="104" spans="7:18" ht="12.75">
      <c r="G104" s="28" t="s">
        <v>1</v>
      </c>
      <c r="H104" s="28"/>
      <c r="I104" s="28"/>
      <c r="J104" s="28"/>
      <c r="K104" s="28"/>
      <c r="L104" s="28"/>
      <c r="P104" s="5" t="s">
        <v>2</v>
      </c>
      <c r="R104" s="5" t="s">
        <v>3</v>
      </c>
    </row>
    <row r="105" spans="1:18" ht="12.75">
      <c r="A105" s="4" t="s">
        <v>87</v>
      </c>
      <c r="B105" s="6"/>
      <c r="C105" s="7" t="s">
        <v>4</v>
      </c>
      <c r="D105" s="7" t="s">
        <v>5</v>
      </c>
      <c r="E105" s="7" t="s">
        <v>6</v>
      </c>
      <c r="F105" s="6"/>
      <c r="G105" s="7" t="s">
        <v>7</v>
      </c>
      <c r="H105" s="7" t="s">
        <v>8</v>
      </c>
      <c r="I105" s="7" t="s">
        <v>9</v>
      </c>
      <c r="J105" s="7">
        <v>5</v>
      </c>
      <c r="K105" s="7">
        <v>6</v>
      </c>
      <c r="L105" s="7">
        <v>7</v>
      </c>
      <c r="M105" s="6"/>
      <c r="N105" s="25" t="s">
        <v>10</v>
      </c>
      <c r="O105" s="6"/>
      <c r="P105" s="8" t="s">
        <v>11</v>
      </c>
      <c r="Q105" s="6"/>
      <c r="R105" s="8" t="s">
        <v>12</v>
      </c>
    </row>
    <row r="106" spans="2:18" ht="12" customHeight="1">
      <c r="B106" s="9" t="s">
        <v>109</v>
      </c>
      <c r="C106" s="3">
        <f>D106+E106</f>
        <v>27</v>
      </c>
      <c r="D106" s="3">
        <v>22</v>
      </c>
      <c r="E106" s="3">
        <v>5</v>
      </c>
      <c r="I106" s="3">
        <v>1</v>
      </c>
      <c r="N106" s="21">
        <f>(C106-P106)</f>
        <v>4</v>
      </c>
      <c r="P106" s="3">
        <v>23</v>
      </c>
      <c r="R106" s="3">
        <v>18</v>
      </c>
    </row>
    <row r="107" spans="2:14" ht="12" customHeight="1">
      <c r="B107" s="9" t="s">
        <v>110</v>
      </c>
      <c r="C107" s="17">
        <f>D107+E107</f>
        <v>0</v>
      </c>
      <c r="D107" s="3">
        <v>0</v>
      </c>
      <c r="E107" s="3">
        <v>0</v>
      </c>
      <c r="N107" s="21">
        <f>(C107-P107)</f>
        <v>0</v>
      </c>
    </row>
    <row r="108" spans="2:18" ht="12" customHeight="1">
      <c r="B108" s="9" t="s">
        <v>213</v>
      </c>
      <c r="C108" s="3">
        <f>D108+E108</f>
        <v>13</v>
      </c>
      <c r="D108" s="3">
        <v>6</v>
      </c>
      <c r="E108" s="3">
        <v>7</v>
      </c>
      <c r="N108" s="21">
        <f>(C108-P108)</f>
        <v>5</v>
      </c>
      <c r="P108" s="3">
        <v>8</v>
      </c>
      <c r="R108" s="3">
        <v>2</v>
      </c>
    </row>
    <row r="109" spans="2:18" ht="12" customHeight="1">
      <c r="B109" s="9" t="s">
        <v>111</v>
      </c>
      <c r="C109" s="3">
        <f>D109+E109</f>
        <v>51</v>
      </c>
      <c r="D109" s="3">
        <v>28</v>
      </c>
      <c r="E109" s="3">
        <v>23</v>
      </c>
      <c r="H109" s="3">
        <v>1</v>
      </c>
      <c r="I109" s="3">
        <v>3</v>
      </c>
      <c r="K109" s="3">
        <v>1</v>
      </c>
      <c r="N109" s="21">
        <f>(C109-P109)</f>
        <v>24</v>
      </c>
      <c r="P109" s="3">
        <f>12+15</f>
        <v>27</v>
      </c>
      <c r="R109" s="3">
        <v>18</v>
      </c>
    </row>
    <row r="110" spans="2:18" ht="12" customHeight="1">
      <c r="B110" s="9" t="s">
        <v>112</v>
      </c>
      <c r="C110" s="3">
        <f>D110+E110</f>
        <v>11</v>
      </c>
      <c r="D110" s="3">
        <v>5</v>
      </c>
      <c r="E110" s="3">
        <v>6</v>
      </c>
      <c r="K110" s="3">
        <v>2</v>
      </c>
      <c r="N110" s="21">
        <f>(C110-P110)</f>
        <v>7</v>
      </c>
      <c r="P110" s="3">
        <v>4</v>
      </c>
      <c r="R110" s="3">
        <v>2</v>
      </c>
    </row>
    <row r="112" spans="1:18" ht="12.75">
      <c r="A112" s="9" t="s">
        <v>4</v>
      </c>
      <c r="C112" s="3">
        <f>SUM(C106:C110)</f>
        <v>102</v>
      </c>
      <c r="D112" s="3">
        <f>SUM(D106:D110)</f>
        <v>61</v>
      </c>
      <c r="E112" s="3">
        <f>SUM(E106:E110)</f>
        <v>41</v>
      </c>
      <c r="G112" s="3">
        <f aca="true" t="shared" si="14" ref="G112:L112">SUM(G106:G110)</f>
        <v>0</v>
      </c>
      <c r="H112" s="3">
        <f t="shared" si="14"/>
        <v>1</v>
      </c>
      <c r="I112" s="3">
        <f t="shared" si="14"/>
        <v>4</v>
      </c>
      <c r="J112" s="3">
        <f t="shared" si="14"/>
        <v>0</v>
      </c>
      <c r="K112" s="3">
        <f t="shared" si="14"/>
        <v>3</v>
      </c>
      <c r="L112" s="3">
        <f t="shared" si="14"/>
        <v>0</v>
      </c>
      <c r="N112" s="21">
        <f>SUM(N106:N110)</f>
        <v>40</v>
      </c>
      <c r="P112" s="3">
        <f>SUM(P106:P110)</f>
        <v>62</v>
      </c>
      <c r="R112" s="3">
        <f>SUM(R106:R110)</f>
        <v>40</v>
      </c>
    </row>
    <row r="116" spans="1:18" ht="12.75">
      <c r="A116" s="9" t="s">
        <v>113</v>
      </c>
      <c r="G116" s="28" t="s">
        <v>1</v>
      </c>
      <c r="H116" s="28"/>
      <c r="I116" s="28"/>
      <c r="J116" s="28"/>
      <c r="K116" s="28"/>
      <c r="L116" s="28"/>
      <c r="P116" s="5" t="s">
        <v>2</v>
      </c>
      <c r="R116" s="5" t="s">
        <v>3</v>
      </c>
    </row>
    <row r="117" spans="1:18" ht="12.75">
      <c r="A117" s="4" t="s">
        <v>114</v>
      </c>
      <c r="B117" s="6"/>
      <c r="C117" s="7" t="s">
        <v>4</v>
      </c>
      <c r="D117" s="7" t="s">
        <v>5</v>
      </c>
      <c r="E117" s="7" t="s">
        <v>6</v>
      </c>
      <c r="F117" s="6"/>
      <c r="G117" s="7" t="s">
        <v>7</v>
      </c>
      <c r="H117" s="7" t="s">
        <v>8</v>
      </c>
      <c r="I117" s="7" t="s">
        <v>9</v>
      </c>
      <c r="J117" s="7">
        <v>5</v>
      </c>
      <c r="K117" s="7">
        <v>6</v>
      </c>
      <c r="L117" s="7">
        <v>7</v>
      </c>
      <c r="M117" s="6"/>
      <c r="N117" s="25" t="s">
        <v>10</v>
      </c>
      <c r="O117" s="6"/>
      <c r="P117" s="8" t="s">
        <v>11</v>
      </c>
      <c r="Q117" s="6"/>
      <c r="R117" s="8" t="s">
        <v>12</v>
      </c>
    </row>
    <row r="118" spans="2:18" ht="12" customHeight="1">
      <c r="B118" s="23" t="s">
        <v>115</v>
      </c>
      <c r="C118" s="17">
        <f aca="true" t="shared" si="15" ref="C118:C135">D118+E118</f>
        <v>355</v>
      </c>
      <c r="D118" s="17">
        <v>196</v>
      </c>
      <c r="E118" s="17">
        <v>159</v>
      </c>
      <c r="G118" s="3">
        <v>3</v>
      </c>
      <c r="H118" s="3">
        <v>11</v>
      </c>
      <c r="I118" s="3">
        <v>12</v>
      </c>
      <c r="J118" s="3">
        <v>1</v>
      </c>
      <c r="K118" s="3">
        <v>11</v>
      </c>
      <c r="N118" s="21">
        <f aca="true" t="shared" si="16" ref="N118:N132">(C118-P118)</f>
        <v>153</v>
      </c>
      <c r="P118" s="3">
        <f>113+89</f>
        <v>202</v>
      </c>
      <c r="R118" s="3">
        <f>22+19</f>
        <v>41</v>
      </c>
    </row>
    <row r="119" spans="2:18" ht="12" customHeight="1">
      <c r="B119" s="23" t="s">
        <v>129</v>
      </c>
      <c r="C119" s="17">
        <f t="shared" si="15"/>
        <v>12</v>
      </c>
      <c r="D119" s="17">
        <v>7</v>
      </c>
      <c r="E119" s="17">
        <v>5</v>
      </c>
      <c r="I119" s="3">
        <v>1</v>
      </c>
      <c r="L119" s="3">
        <v>2</v>
      </c>
      <c r="N119" s="21">
        <f t="shared" si="16"/>
        <v>1</v>
      </c>
      <c r="P119" s="3">
        <v>11</v>
      </c>
      <c r="R119" s="3">
        <v>9</v>
      </c>
    </row>
    <row r="120" spans="2:18" ht="12" customHeight="1">
      <c r="B120" s="23" t="s">
        <v>116</v>
      </c>
      <c r="C120" s="17">
        <f t="shared" si="15"/>
        <v>8</v>
      </c>
      <c r="D120" s="17">
        <v>5</v>
      </c>
      <c r="E120" s="17">
        <v>3</v>
      </c>
      <c r="I120" s="3">
        <v>1</v>
      </c>
      <c r="N120" s="21">
        <f t="shared" si="16"/>
        <v>0</v>
      </c>
      <c r="P120" s="3">
        <v>8</v>
      </c>
      <c r="R120" s="3">
        <v>6</v>
      </c>
    </row>
    <row r="121" spans="2:16" ht="12" customHeight="1">
      <c r="B121" s="23" t="s">
        <v>214</v>
      </c>
      <c r="C121" s="17">
        <f>D121+E121</f>
        <v>2</v>
      </c>
      <c r="D121" s="17">
        <v>2</v>
      </c>
      <c r="E121" s="17">
        <v>0</v>
      </c>
      <c r="N121" s="21">
        <f>(C121-P121)</f>
        <v>1</v>
      </c>
      <c r="P121" s="3">
        <v>1</v>
      </c>
    </row>
    <row r="122" spans="2:14" ht="12" customHeight="1">
      <c r="B122" s="23" t="s">
        <v>127</v>
      </c>
      <c r="C122" s="17">
        <f t="shared" si="15"/>
        <v>0</v>
      </c>
      <c r="D122" s="17">
        <v>0</v>
      </c>
      <c r="E122" s="17">
        <v>0</v>
      </c>
      <c r="N122" s="21">
        <f t="shared" si="16"/>
        <v>0</v>
      </c>
    </row>
    <row r="123" spans="2:19" ht="12.75">
      <c r="B123" s="23" t="s">
        <v>117</v>
      </c>
      <c r="C123" s="17">
        <f t="shared" si="15"/>
        <v>15</v>
      </c>
      <c r="D123" s="17">
        <v>7</v>
      </c>
      <c r="E123" s="17">
        <v>8</v>
      </c>
      <c r="F123" s="17"/>
      <c r="G123" s="17"/>
      <c r="H123" s="17">
        <v>1</v>
      </c>
      <c r="I123" s="17">
        <v>2</v>
      </c>
      <c r="J123" s="17"/>
      <c r="K123" s="17">
        <v>1</v>
      </c>
      <c r="L123" s="17"/>
      <c r="M123" s="17"/>
      <c r="N123" s="22">
        <f t="shared" si="16"/>
        <v>3</v>
      </c>
      <c r="O123" s="17"/>
      <c r="P123" s="17">
        <f>5+7</f>
        <v>12</v>
      </c>
      <c r="Q123" s="17"/>
      <c r="R123" s="17">
        <v>3</v>
      </c>
      <c r="S123" s="17"/>
    </row>
    <row r="124" spans="2:14" ht="12.75">
      <c r="B124" s="23" t="s">
        <v>203</v>
      </c>
      <c r="C124" s="17">
        <f t="shared" si="15"/>
        <v>0</v>
      </c>
      <c r="D124" s="17">
        <v>0</v>
      </c>
      <c r="E124" s="17">
        <v>0</v>
      </c>
      <c r="N124" s="21">
        <f t="shared" si="16"/>
        <v>0</v>
      </c>
    </row>
    <row r="125" spans="2:18" ht="12.75">
      <c r="B125" s="23" t="s">
        <v>130</v>
      </c>
      <c r="C125" s="17">
        <f t="shared" si="15"/>
        <v>44</v>
      </c>
      <c r="D125" s="17">
        <v>28</v>
      </c>
      <c r="E125" s="17">
        <v>16</v>
      </c>
      <c r="H125" s="3">
        <v>1</v>
      </c>
      <c r="I125" s="3">
        <v>2</v>
      </c>
      <c r="K125" s="3">
        <v>2</v>
      </c>
      <c r="L125" s="3">
        <v>1</v>
      </c>
      <c r="N125" s="21">
        <f t="shared" si="16"/>
        <v>9</v>
      </c>
      <c r="P125" s="3">
        <f>21+14</f>
        <v>35</v>
      </c>
      <c r="R125" s="3">
        <v>1</v>
      </c>
    </row>
    <row r="126" spans="2:18" ht="12.75">
      <c r="B126" s="23" t="s">
        <v>118</v>
      </c>
      <c r="C126" s="17">
        <f t="shared" si="15"/>
        <v>4</v>
      </c>
      <c r="D126" s="17">
        <v>1</v>
      </c>
      <c r="E126" s="17">
        <v>3</v>
      </c>
      <c r="K126" s="3">
        <v>1</v>
      </c>
      <c r="N126" s="21">
        <f t="shared" si="16"/>
        <v>3</v>
      </c>
      <c r="P126" s="3">
        <v>1</v>
      </c>
      <c r="R126" s="3">
        <v>1</v>
      </c>
    </row>
    <row r="127" spans="2:16" ht="12" customHeight="1">
      <c r="B127" s="23" t="s">
        <v>123</v>
      </c>
      <c r="C127" s="17">
        <f>D127+E127</f>
        <v>13</v>
      </c>
      <c r="D127" s="17">
        <v>12</v>
      </c>
      <c r="E127" s="17">
        <v>1</v>
      </c>
      <c r="N127" s="21">
        <f>(C127-P127)</f>
        <v>7</v>
      </c>
      <c r="P127" s="3">
        <v>6</v>
      </c>
    </row>
    <row r="128" spans="2:18" ht="12" customHeight="1">
      <c r="B128" s="23" t="s">
        <v>119</v>
      </c>
      <c r="C128" s="17">
        <f t="shared" si="15"/>
        <v>56</v>
      </c>
      <c r="D128" s="17">
        <v>20</v>
      </c>
      <c r="E128" s="17">
        <v>36</v>
      </c>
      <c r="G128" s="3">
        <v>1</v>
      </c>
      <c r="H128" s="3">
        <v>5</v>
      </c>
      <c r="I128" s="3">
        <v>1</v>
      </c>
      <c r="N128" s="21">
        <f t="shared" si="16"/>
        <v>27</v>
      </c>
      <c r="P128" s="3">
        <f>11+18</f>
        <v>29</v>
      </c>
      <c r="R128" s="3">
        <v>6</v>
      </c>
    </row>
    <row r="129" spans="2:18" ht="12" customHeight="1">
      <c r="B129" s="23" t="s">
        <v>215</v>
      </c>
      <c r="C129" s="17">
        <f t="shared" si="15"/>
        <v>5</v>
      </c>
      <c r="D129" s="17">
        <v>2</v>
      </c>
      <c r="E129" s="17">
        <v>3</v>
      </c>
      <c r="H129" s="3">
        <v>1</v>
      </c>
      <c r="N129" s="21">
        <f t="shared" si="16"/>
        <v>2</v>
      </c>
      <c r="P129" s="3">
        <v>3</v>
      </c>
      <c r="R129" s="3">
        <v>1</v>
      </c>
    </row>
    <row r="130" spans="2:14" ht="12" customHeight="1">
      <c r="B130" s="23" t="s">
        <v>120</v>
      </c>
      <c r="C130" s="17">
        <f t="shared" si="15"/>
        <v>2</v>
      </c>
      <c r="D130" s="17">
        <v>2</v>
      </c>
      <c r="E130" s="17">
        <v>0</v>
      </c>
      <c r="N130" s="21">
        <f t="shared" si="16"/>
        <v>2</v>
      </c>
    </row>
    <row r="131" spans="2:16" ht="12" customHeight="1">
      <c r="B131" s="23" t="s">
        <v>168</v>
      </c>
      <c r="C131" s="17">
        <f>D131+E131</f>
        <v>5</v>
      </c>
      <c r="D131" s="17">
        <v>2</v>
      </c>
      <c r="E131" s="17">
        <v>3</v>
      </c>
      <c r="N131" s="21">
        <f>(C131-P131)</f>
        <v>1</v>
      </c>
      <c r="P131" s="3">
        <v>4</v>
      </c>
    </row>
    <row r="132" spans="2:18" ht="12" customHeight="1">
      <c r="B132" s="23" t="s">
        <v>216</v>
      </c>
      <c r="C132" s="17">
        <f t="shared" si="15"/>
        <v>7</v>
      </c>
      <c r="D132" s="17">
        <v>2</v>
      </c>
      <c r="E132" s="17">
        <v>5</v>
      </c>
      <c r="N132" s="21">
        <f t="shared" si="16"/>
        <v>2</v>
      </c>
      <c r="P132" s="3">
        <v>5</v>
      </c>
      <c r="R132" s="3">
        <v>3</v>
      </c>
    </row>
    <row r="133" spans="2:18" ht="12" customHeight="1">
      <c r="B133" s="23" t="s">
        <v>217</v>
      </c>
      <c r="C133" s="17">
        <f>D133+E133</f>
        <v>25</v>
      </c>
      <c r="D133" s="17">
        <v>19</v>
      </c>
      <c r="E133" s="17">
        <v>6</v>
      </c>
      <c r="N133" s="21">
        <f>(C133-P133)</f>
        <v>10</v>
      </c>
      <c r="P133" s="3">
        <v>15</v>
      </c>
      <c r="R133" s="3">
        <v>4</v>
      </c>
    </row>
    <row r="134" spans="2:14" ht="12" customHeight="1">
      <c r="B134" s="23" t="s">
        <v>124</v>
      </c>
      <c r="C134" s="17">
        <f t="shared" si="15"/>
        <v>0</v>
      </c>
      <c r="D134" s="17">
        <v>0</v>
      </c>
      <c r="E134" s="17">
        <v>0</v>
      </c>
      <c r="N134" s="21">
        <f>(C134-P134)</f>
        <v>0</v>
      </c>
    </row>
    <row r="135" spans="2:18" ht="12" customHeight="1">
      <c r="B135" s="23" t="s">
        <v>125</v>
      </c>
      <c r="C135" s="17">
        <f t="shared" si="15"/>
        <v>3</v>
      </c>
      <c r="D135" s="17">
        <v>1</v>
      </c>
      <c r="E135" s="17">
        <v>2</v>
      </c>
      <c r="N135" s="21">
        <f>(C135-P135)</f>
        <v>0</v>
      </c>
      <c r="P135" s="3">
        <v>3</v>
      </c>
      <c r="R135" s="3">
        <v>1</v>
      </c>
    </row>
    <row r="137" spans="1:18" ht="12.75">
      <c r="A137" s="9" t="s">
        <v>4</v>
      </c>
      <c r="C137" s="3">
        <f>SUM(C118:C136)</f>
        <v>556</v>
      </c>
      <c r="D137" s="3">
        <f>SUM(D118:D136)</f>
        <v>306</v>
      </c>
      <c r="E137" s="3">
        <f aca="true" t="shared" si="17" ref="E137:L137">SUM(E118:E135)</f>
        <v>250</v>
      </c>
      <c r="F137" s="3">
        <f t="shared" si="17"/>
        <v>0</v>
      </c>
      <c r="G137" s="3">
        <f t="shared" si="17"/>
        <v>4</v>
      </c>
      <c r="H137" s="3">
        <f t="shared" si="17"/>
        <v>19</v>
      </c>
      <c r="I137" s="3">
        <f t="shared" si="17"/>
        <v>19</v>
      </c>
      <c r="J137" s="3">
        <f t="shared" si="17"/>
        <v>1</v>
      </c>
      <c r="K137" s="3">
        <f t="shared" si="17"/>
        <v>15</v>
      </c>
      <c r="L137" s="3">
        <f t="shared" si="17"/>
        <v>3</v>
      </c>
      <c r="N137" s="21">
        <f>SUM(N118:N136)</f>
        <v>221</v>
      </c>
      <c r="P137" s="3">
        <f>SUM(P118:P135)</f>
        <v>335</v>
      </c>
      <c r="R137" s="3">
        <f>SUM(R118:R135)</f>
        <v>76</v>
      </c>
    </row>
    <row r="138" ht="12.75">
      <c r="H138" s="6"/>
    </row>
    <row r="139" ht="12.75">
      <c r="H139" s="6"/>
    </row>
    <row r="140" ht="12.75">
      <c r="H140" s="6"/>
    </row>
    <row r="141" spans="7:18" ht="12.75">
      <c r="G141" s="28" t="s">
        <v>1</v>
      </c>
      <c r="H141" s="28"/>
      <c r="I141" s="28"/>
      <c r="J141" s="28"/>
      <c r="K141" s="28"/>
      <c r="L141" s="28"/>
      <c r="P141" s="5" t="s">
        <v>2</v>
      </c>
      <c r="R141" s="5" t="s">
        <v>3</v>
      </c>
    </row>
    <row r="142" spans="3:18" ht="12.75">
      <c r="C142" s="7" t="s">
        <v>4</v>
      </c>
      <c r="D142" s="7" t="s">
        <v>5</v>
      </c>
      <c r="E142" s="7" t="s">
        <v>6</v>
      </c>
      <c r="F142" s="6"/>
      <c r="G142" s="7" t="s">
        <v>7</v>
      </c>
      <c r="H142" s="7" t="s">
        <v>8</v>
      </c>
      <c r="I142" s="7" t="s">
        <v>9</v>
      </c>
      <c r="J142" s="7">
        <v>5</v>
      </c>
      <c r="K142" s="7">
        <v>6</v>
      </c>
      <c r="L142" s="7">
        <v>7</v>
      </c>
      <c r="M142" s="6"/>
      <c r="N142" s="25" t="s">
        <v>10</v>
      </c>
      <c r="O142" s="6"/>
      <c r="P142" s="8" t="s">
        <v>11</v>
      </c>
      <c r="Q142" s="6"/>
      <c r="R142" s="8" t="s">
        <v>12</v>
      </c>
    </row>
    <row r="144" spans="1:18" ht="12.75">
      <c r="A144" s="9" t="s">
        <v>121</v>
      </c>
      <c r="C144" s="3">
        <f aca="true" t="shared" si="18" ref="C144:L144">C24+C33+C44+C63+C77+C100+C112+C137</f>
        <v>4681</v>
      </c>
      <c r="D144" s="3">
        <f t="shared" si="18"/>
        <v>2720</v>
      </c>
      <c r="E144" s="3">
        <f t="shared" si="18"/>
        <v>1961</v>
      </c>
      <c r="F144" s="3">
        <f t="shared" si="18"/>
        <v>0</v>
      </c>
      <c r="G144" s="3">
        <f t="shared" si="18"/>
        <v>9</v>
      </c>
      <c r="H144" s="3">
        <f t="shared" si="18"/>
        <v>149</v>
      </c>
      <c r="I144" s="3">
        <f t="shared" si="18"/>
        <v>91</v>
      </c>
      <c r="J144" s="3">
        <f t="shared" si="18"/>
        <v>1</v>
      </c>
      <c r="K144" s="3">
        <f t="shared" si="18"/>
        <v>103</v>
      </c>
      <c r="L144" s="3">
        <f t="shared" si="18"/>
        <v>30</v>
      </c>
      <c r="N144" s="21">
        <f>N24+N33+N44+N63+N77+N100+N112+N137</f>
        <v>1714</v>
      </c>
      <c r="P144" s="3">
        <f>P24+P33+P44+P63+P77+P100+P112+P137</f>
        <v>2967</v>
      </c>
      <c r="R144" s="3">
        <f>R24+R33+R44+R63+R77+R100+R112+R137</f>
        <v>1525</v>
      </c>
    </row>
    <row r="145" ht="12.75">
      <c r="C145" s="19"/>
    </row>
    <row r="151" ht="12.75">
      <c r="A151" s="9" t="s">
        <v>122</v>
      </c>
    </row>
    <row r="152" ht="12.75">
      <c r="B152" s="9" t="s">
        <v>92</v>
      </c>
    </row>
    <row r="153" ht="12.75">
      <c r="B153" s="9" t="s">
        <v>93</v>
      </c>
    </row>
    <row r="154" ht="12.75">
      <c r="B154" s="9" t="s">
        <v>218</v>
      </c>
    </row>
    <row r="155" ht="12.75">
      <c r="B155" s="9" t="s">
        <v>219</v>
      </c>
    </row>
    <row r="156" ht="12.75">
      <c r="B156" s="9" t="s">
        <v>220</v>
      </c>
    </row>
    <row r="157" ht="12.75">
      <c r="B157" s="20" t="s">
        <v>221</v>
      </c>
    </row>
    <row r="159" ht="12.75">
      <c r="A159" s="9" t="s">
        <v>94</v>
      </c>
    </row>
  </sheetData>
  <sheetProtection/>
  <mergeCells count="11">
    <mergeCell ref="G141:L141"/>
    <mergeCell ref="A48:S48"/>
    <mergeCell ref="A101:S101"/>
    <mergeCell ref="G5:L5"/>
    <mergeCell ref="G27:L27"/>
    <mergeCell ref="G37:L37"/>
    <mergeCell ref="G51:L51"/>
    <mergeCell ref="G67:L67"/>
    <mergeCell ref="A3:S3"/>
    <mergeCell ref="G104:L104"/>
    <mergeCell ref="G116:L116"/>
  </mergeCells>
  <printOptions horizontalCentered="1"/>
  <pageMargins left="0.5" right="0.5" top="0.75" bottom="0.5" header="0.5" footer="0.5"/>
  <pageSetup fitToHeight="0" horizontalDpi="300" verticalDpi="300" orientation="portrait" scale="89" r:id="rId1"/>
  <headerFooter alignWithMargins="0">
    <oddHeader>&amp;R&amp;"Times New Roman,Regular"Page &amp;P</oddHeader>
  </headerFooter>
  <rowBreaks count="2" manualBreakCount="2">
    <brk id="47" max="16" man="1"/>
    <brk id="100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F45"/>
  <sheetViews>
    <sheetView showGridLines="0" zoomScaleSheetLayoutView="100" zoomScalePageLayoutView="0" workbookViewId="0" topLeftCell="A1">
      <selection activeCell="D8" sqref="D8"/>
    </sheetView>
  </sheetViews>
  <sheetFormatPr defaultColWidth="9.7109375" defaultRowHeight="12.75"/>
  <cols>
    <col min="1" max="1" width="3.140625" style="3" customWidth="1"/>
    <col min="2" max="2" width="36.57421875" style="3" customWidth="1"/>
    <col min="3" max="4" width="5.7109375" style="3" customWidth="1"/>
    <col min="5" max="5" width="7.28125" style="3" customWidth="1"/>
    <col min="6" max="6" width="1.1484375" style="3" customWidth="1"/>
    <col min="7" max="16384" width="9.7109375" style="3" customWidth="1"/>
  </cols>
  <sheetData>
    <row r="1" spans="1:6" ht="15.75">
      <c r="A1" s="1" t="s">
        <v>237</v>
      </c>
      <c r="B1" s="2"/>
      <c r="C1" s="2"/>
      <c r="D1" s="2"/>
      <c r="E1" s="2"/>
      <c r="F1" s="2"/>
    </row>
    <row r="2" spans="1:6" ht="15.75">
      <c r="A2" s="1" t="s">
        <v>238</v>
      </c>
      <c r="B2" s="2"/>
      <c r="C2" s="2"/>
      <c r="D2" s="2"/>
      <c r="E2" s="2"/>
      <c r="F2" s="2"/>
    </row>
    <row r="6" spans="1:6" ht="12.75">
      <c r="A6" s="4"/>
      <c r="B6" s="6"/>
      <c r="C6" s="7" t="s">
        <v>4</v>
      </c>
      <c r="D6" s="7" t="s">
        <v>5</v>
      </c>
      <c r="E6" s="7" t="s">
        <v>6</v>
      </c>
      <c r="F6" s="6"/>
    </row>
    <row r="7" spans="1:5" ht="12" customHeight="1">
      <c r="A7" s="9" t="s">
        <v>4</v>
      </c>
      <c r="B7" s="9"/>
      <c r="C7" s="3">
        <f>D7+E7</f>
        <v>276</v>
      </c>
      <c r="D7" s="3">
        <v>186</v>
      </c>
      <c r="E7" s="3">
        <v>90</v>
      </c>
    </row>
    <row r="17" spans="1:3" ht="12.75">
      <c r="A17" s="9"/>
      <c r="B17" s="11"/>
      <c r="C17" s="11"/>
    </row>
    <row r="18" spans="2:3" ht="12.75">
      <c r="B18" s="9"/>
      <c r="C18" s="11"/>
    </row>
    <row r="19" spans="2:3" ht="12.75">
      <c r="B19" s="9"/>
      <c r="C19" s="11"/>
    </row>
    <row r="20" spans="2:3" ht="12.75">
      <c r="B20" s="9"/>
      <c r="C20" s="11"/>
    </row>
    <row r="21" spans="2:3" ht="12.75">
      <c r="B21" s="9"/>
      <c r="C21" s="11"/>
    </row>
    <row r="22" spans="2:3" ht="12.75">
      <c r="B22" s="9"/>
      <c r="C22" s="11"/>
    </row>
    <row r="23" spans="2:3" ht="12.75">
      <c r="B23" s="20"/>
      <c r="C23" s="11"/>
    </row>
    <row r="24" spans="2:3" ht="12.75">
      <c r="B24" s="11"/>
      <c r="C24" s="11"/>
    </row>
    <row r="25" spans="1:3" ht="12.75">
      <c r="A25" s="9"/>
      <c r="B25" s="11"/>
      <c r="C25" s="11"/>
    </row>
    <row r="44" ht="12.75">
      <c r="A44" s="9"/>
    </row>
    <row r="45" ht="12.75">
      <c r="A45" s="9"/>
    </row>
  </sheetData>
  <sheetProtection/>
  <printOptions horizontalCentered="1"/>
  <pageMargins left="0.4" right="0.4" top="0.75" bottom="0.5" header="0.5" footer="0.5"/>
  <pageSetup fitToHeight="0" horizontalDpi="300" verticalDpi="3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H02676</dc:creator>
  <cp:keywords/>
  <dc:description/>
  <cp:lastModifiedBy>cchulse</cp:lastModifiedBy>
  <cp:lastPrinted>2011-09-13T14:31:08Z</cp:lastPrinted>
  <dcterms:created xsi:type="dcterms:W3CDTF">1999-09-01T19:18:26Z</dcterms:created>
  <dcterms:modified xsi:type="dcterms:W3CDTF">2011-12-28T20:53:17Z</dcterms:modified>
  <cp:category/>
  <cp:version/>
  <cp:contentType/>
  <cp:contentStatus/>
</cp:coreProperties>
</file>